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nnebandy-my.sharepoint.com/personal/gustav_johansson_innebandy_se/Documents/WCVH 23/"/>
    </mc:Choice>
  </mc:AlternateContent>
  <xr:revisionPtr revIDLastSave="3179" documentId="11_F25DC773A252ABDACC104882A11E43C05BDE58F3" xr6:coauthVersionLast="47" xr6:coauthVersionMax="47" xr10:uidLastSave="{2A2681B3-34F7-44FA-B2D8-C763FBD73B20}"/>
  <bookViews>
    <workbookView xWindow="-108" yWindow="-108" windowWidth="23256" windowHeight="13896" firstSheet="4" activeTab="6" xr2:uid="{00000000-000D-0000-FFFF-FFFF00000000}"/>
  </bookViews>
  <sheets>
    <sheet name="Lag + Gruppindelning" sheetId="1" r:id="rId1"/>
    <sheet name="Matcher" sheetId="2" r:id="rId2"/>
    <sheet name="Schema" sheetId="4" r:id="rId3"/>
    <sheet name="Domartillsättning" sheetId="5" r:id="rId4"/>
    <sheet name="Domarschema" sheetId="6" r:id="rId5"/>
    <sheet name="Teams +Groups" sheetId="9" r:id="rId6"/>
    <sheet name="Games" sheetId="10" r:id="rId7"/>
    <sheet name="Tables" sheetId="13" r:id="rId8"/>
    <sheet name="New Schedule" sheetId="8" r:id="rId9"/>
    <sheet name="Referee Schedule" sheetId="11" r:id="rId10"/>
    <sheet name="Ref. Schedule" sheetId="1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8" l="1"/>
  <c r="O26" i="10"/>
  <c r="O27" i="10"/>
  <c r="O28" i="10"/>
  <c r="O25" i="10"/>
  <c r="O20" i="10"/>
  <c r="O21" i="10"/>
  <c r="O22" i="10"/>
  <c r="O19" i="10"/>
  <c r="O15" i="10"/>
  <c r="O16" i="10"/>
  <c r="O17" i="10"/>
  <c r="O14" i="10"/>
  <c r="O11" i="10"/>
  <c r="O9" i="10"/>
  <c r="O10" i="10"/>
  <c r="O8" i="10"/>
  <c r="W12" i="11"/>
  <c r="V12" i="11"/>
  <c r="Q12" i="8"/>
  <c r="P12" i="8"/>
  <c r="Q12" i="11"/>
  <c r="P12" i="11"/>
  <c r="M12" i="8"/>
  <c r="L12" i="8"/>
  <c r="K10" i="11"/>
  <c r="J10" i="11"/>
  <c r="I10" i="8"/>
  <c r="H10" i="8"/>
  <c r="G38" i="13"/>
  <c r="G29" i="13"/>
  <c r="G21" i="13"/>
  <c r="G22" i="13"/>
  <c r="V46" i="13"/>
  <c r="V42" i="13"/>
  <c r="V41" i="13"/>
  <c r="V39" i="13"/>
  <c r="V34" i="13"/>
  <c r="Y34" i="13" s="1"/>
  <c r="V33" i="13"/>
  <c r="Z33" i="13" s="1"/>
  <c r="V32" i="13"/>
  <c r="V31" i="13"/>
  <c r="V30" i="13"/>
  <c r="V29" i="13"/>
  <c r="Y29" i="13" s="1"/>
  <c r="V26" i="13"/>
  <c r="Y26" i="13" s="1"/>
  <c r="V25" i="13"/>
  <c r="V24" i="13"/>
  <c r="V23" i="13"/>
  <c r="V22" i="13"/>
  <c r="V18" i="13"/>
  <c r="Y18" i="13" s="1"/>
  <c r="V17" i="13"/>
  <c r="V14" i="13"/>
  <c r="V11" i="13"/>
  <c r="Y11" i="13" s="1"/>
  <c r="V10" i="13"/>
  <c r="Y10" i="13" s="1"/>
  <c r="V9" i="13"/>
  <c r="Y9" i="13" s="1"/>
  <c r="V2" i="13"/>
  <c r="V1" i="13"/>
  <c r="T7" i="13"/>
  <c r="T9" i="13"/>
  <c r="T10" i="13"/>
  <c r="T17" i="13"/>
  <c r="T18" i="13"/>
  <c r="T24" i="13"/>
  <c r="T25" i="13"/>
  <c r="T26" i="13"/>
  <c r="T31" i="13"/>
  <c r="T33" i="13"/>
  <c r="T34" i="13"/>
  <c r="T41" i="13"/>
  <c r="T42" i="13"/>
  <c r="T47" i="13"/>
  <c r="Y17" i="13"/>
  <c r="Z17" i="13"/>
  <c r="Y25" i="13"/>
  <c r="Z25" i="13"/>
  <c r="Y41" i="13"/>
  <c r="Z41" i="13"/>
  <c r="Y42" i="13"/>
  <c r="Z42" i="13"/>
  <c r="S1" i="13"/>
  <c r="T1" i="13"/>
  <c r="U1" i="13"/>
  <c r="W1" i="13"/>
  <c r="S2" i="13"/>
  <c r="T2" i="13"/>
  <c r="U2" i="13"/>
  <c r="W2" i="13"/>
  <c r="U4" i="13"/>
  <c r="W4" i="13"/>
  <c r="U5" i="13"/>
  <c r="W5" i="13"/>
  <c r="S6" i="13"/>
  <c r="U6" i="13"/>
  <c r="W6" i="13"/>
  <c r="S7" i="13"/>
  <c r="U7" i="13"/>
  <c r="W7" i="13"/>
  <c r="S8" i="13"/>
  <c r="U8" i="13"/>
  <c r="W8" i="13"/>
  <c r="S9" i="13"/>
  <c r="U9" i="13"/>
  <c r="W9" i="13"/>
  <c r="S10" i="13"/>
  <c r="U10" i="13"/>
  <c r="W10" i="13"/>
  <c r="S11" i="13"/>
  <c r="U11" i="13"/>
  <c r="W11" i="13"/>
  <c r="S12" i="13"/>
  <c r="U12" i="13"/>
  <c r="W12" i="13"/>
  <c r="S13" i="13"/>
  <c r="U13" i="13"/>
  <c r="W13" i="13"/>
  <c r="S14" i="13"/>
  <c r="U14" i="13"/>
  <c r="W14" i="13"/>
  <c r="S15" i="13"/>
  <c r="U15" i="13"/>
  <c r="W15" i="13"/>
  <c r="S16" i="13"/>
  <c r="U16" i="13"/>
  <c r="W16" i="13"/>
  <c r="S17" i="13"/>
  <c r="U17" i="13"/>
  <c r="W17" i="13"/>
  <c r="S18" i="13"/>
  <c r="U18" i="13"/>
  <c r="W18" i="13"/>
  <c r="S19" i="13"/>
  <c r="U19" i="13"/>
  <c r="W19" i="13"/>
  <c r="S20" i="13"/>
  <c r="U20" i="13"/>
  <c r="W20" i="13"/>
  <c r="S21" i="13"/>
  <c r="U21" i="13"/>
  <c r="W21" i="13"/>
  <c r="S22" i="13"/>
  <c r="U22" i="13"/>
  <c r="W22" i="13"/>
  <c r="S23" i="13"/>
  <c r="U23" i="13"/>
  <c r="W23" i="13"/>
  <c r="S24" i="13"/>
  <c r="U24" i="13"/>
  <c r="W24" i="13"/>
  <c r="S25" i="13"/>
  <c r="U25" i="13"/>
  <c r="W25" i="13"/>
  <c r="S26" i="13"/>
  <c r="U26" i="13"/>
  <c r="W26" i="13"/>
  <c r="S27" i="13"/>
  <c r="U27" i="13"/>
  <c r="W27" i="13"/>
  <c r="S28" i="13"/>
  <c r="U28" i="13"/>
  <c r="W28" i="13"/>
  <c r="S29" i="13"/>
  <c r="U29" i="13"/>
  <c r="W29" i="13"/>
  <c r="S30" i="13"/>
  <c r="U30" i="13"/>
  <c r="W30" i="13"/>
  <c r="S31" i="13"/>
  <c r="U31" i="13"/>
  <c r="W31" i="13"/>
  <c r="S32" i="13"/>
  <c r="U32" i="13"/>
  <c r="W32" i="13"/>
  <c r="S33" i="13"/>
  <c r="U33" i="13"/>
  <c r="W33" i="13"/>
  <c r="S34" i="13"/>
  <c r="U34" i="13"/>
  <c r="W34" i="13"/>
  <c r="S35" i="13"/>
  <c r="U35" i="13"/>
  <c r="S36" i="13"/>
  <c r="U36" i="13"/>
  <c r="W36" i="13"/>
  <c r="S37" i="13"/>
  <c r="U37" i="13"/>
  <c r="W37" i="13"/>
  <c r="S38" i="13"/>
  <c r="U38" i="13"/>
  <c r="W38" i="13"/>
  <c r="S39" i="13"/>
  <c r="U39" i="13"/>
  <c r="U40" i="13"/>
  <c r="W40" i="13"/>
  <c r="S41" i="13"/>
  <c r="U41" i="13"/>
  <c r="W41" i="13"/>
  <c r="S42" i="13"/>
  <c r="U42" i="13"/>
  <c r="W42" i="13"/>
  <c r="S43" i="13"/>
  <c r="U43" i="13"/>
  <c r="W43" i="13"/>
  <c r="S44" i="13"/>
  <c r="U44" i="13"/>
  <c r="W44" i="13"/>
  <c r="S45" i="13"/>
  <c r="U45" i="13"/>
  <c r="W45" i="13"/>
  <c r="S46" i="13"/>
  <c r="U46" i="13"/>
  <c r="W46" i="13"/>
  <c r="S47" i="13"/>
  <c r="U47" i="13"/>
  <c r="W47" i="13"/>
  <c r="S48" i="13"/>
  <c r="U48" i="13"/>
  <c r="W48" i="13"/>
  <c r="U3" i="13"/>
  <c r="W3" i="13"/>
  <c r="M11" i="13"/>
  <c r="N11" i="13"/>
  <c r="T11" i="13" s="1"/>
  <c r="H13" i="13" s="1"/>
  <c r="O11" i="13"/>
  <c r="P11" i="13"/>
  <c r="Q11" i="13"/>
  <c r="M14" i="13"/>
  <c r="N14" i="13"/>
  <c r="T14" i="13" s="1"/>
  <c r="O14" i="13"/>
  <c r="P14" i="13"/>
  <c r="Q14" i="13"/>
  <c r="M12" i="13"/>
  <c r="N12" i="13"/>
  <c r="T12" i="13" s="1"/>
  <c r="H14" i="13" s="1"/>
  <c r="O12" i="13"/>
  <c r="P12" i="13"/>
  <c r="V12" i="13" s="1"/>
  <c r="G14" i="13" s="1"/>
  <c r="Q12" i="13"/>
  <c r="M15" i="13"/>
  <c r="N15" i="13"/>
  <c r="T15" i="13" s="1"/>
  <c r="O15" i="13"/>
  <c r="P15" i="13"/>
  <c r="V15" i="13" s="1"/>
  <c r="Q15" i="13"/>
  <c r="M13" i="13"/>
  <c r="N13" i="13"/>
  <c r="T13" i="13" s="1"/>
  <c r="H15" i="13" s="1"/>
  <c r="O13" i="13"/>
  <c r="P13" i="13"/>
  <c r="V13" i="13" s="1"/>
  <c r="G15" i="13" s="1"/>
  <c r="Q13" i="13"/>
  <c r="M16" i="13"/>
  <c r="N16" i="13"/>
  <c r="T16" i="13" s="1"/>
  <c r="O16" i="13"/>
  <c r="P16" i="13"/>
  <c r="V16" i="13" s="1"/>
  <c r="Q16" i="13"/>
  <c r="M19" i="13"/>
  <c r="N19" i="13"/>
  <c r="T19" i="13" s="1"/>
  <c r="H21" i="13" s="1"/>
  <c r="O19" i="13"/>
  <c r="P19" i="13"/>
  <c r="V19" i="13" s="1"/>
  <c r="Q19" i="13"/>
  <c r="M22" i="13"/>
  <c r="N22" i="13"/>
  <c r="T22" i="13" s="1"/>
  <c r="O22" i="13"/>
  <c r="P22" i="13"/>
  <c r="Q22" i="13"/>
  <c r="M20" i="13"/>
  <c r="N20" i="13"/>
  <c r="T20" i="13" s="1"/>
  <c r="H22" i="13" s="1"/>
  <c r="O20" i="13"/>
  <c r="P20" i="13"/>
  <c r="V20" i="13" s="1"/>
  <c r="Q20" i="13"/>
  <c r="M23" i="13"/>
  <c r="N23" i="13"/>
  <c r="T23" i="13" s="1"/>
  <c r="Y23" i="13" s="1"/>
  <c r="O23" i="13"/>
  <c r="P23" i="13"/>
  <c r="Q23" i="13"/>
  <c r="M21" i="13"/>
  <c r="N21" i="13"/>
  <c r="T21" i="13" s="1"/>
  <c r="H23" i="13" s="1"/>
  <c r="O21" i="13"/>
  <c r="P21" i="13"/>
  <c r="V21" i="13" s="1"/>
  <c r="G23" i="13" s="1"/>
  <c r="Q21" i="13"/>
  <c r="M24" i="13"/>
  <c r="N24" i="13"/>
  <c r="O24" i="13"/>
  <c r="P24" i="13"/>
  <c r="Q24" i="13"/>
  <c r="M27" i="13"/>
  <c r="N27" i="13"/>
  <c r="T27" i="13" s="1"/>
  <c r="O27" i="13"/>
  <c r="P27" i="13"/>
  <c r="V27" i="13" s="1"/>
  <c r="Q27" i="13"/>
  <c r="M30" i="13"/>
  <c r="N30" i="13"/>
  <c r="T30" i="13" s="1"/>
  <c r="Y30" i="13" s="1"/>
  <c r="O30" i="13"/>
  <c r="P30" i="13"/>
  <c r="Q30" i="13"/>
  <c r="M28" i="13"/>
  <c r="N28" i="13"/>
  <c r="T28" i="13" s="1"/>
  <c r="H30" i="13" s="1"/>
  <c r="O28" i="13"/>
  <c r="P28" i="13"/>
  <c r="V28" i="13" s="1"/>
  <c r="Q28" i="13"/>
  <c r="M31" i="13"/>
  <c r="N31" i="13"/>
  <c r="O31" i="13"/>
  <c r="P31" i="13"/>
  <c r="Q31" i="13"/>
  <c r="M29" i="13"/>
  <c r="N29" i="13"/>
  <c r="T29" i="13" s="1"/>
  <c r="H31" i="13" s="1"/>
  <c r="O29" i="13"/>
  <c r="P29" i="13"/>
  <c r="Q29" i="13"/>
  <c r="M32" i="13"/>
  <c r="N32" i="13"/>
  <c r="T32" i="13" s="1"/>
  <c r="O32" i="13"/>
  <c r="P32" i="13"/>
  <c r="Q32" i="13"/>
  <c r="M35" i="13"/>
  <c r="N35" i="13"/>
  <c r="T35" i="13" s="1"/>
  <c r="O35" i="13"/>
  <c r="P35" i="13"/>
  <c r="V35" i="13" s="1"/>
  <c r="G37" i="13" s="1"/>
  <c r="M38" i="13"/>
  <c r="N38" i="13"/>
  <c r="T38" i="13" s="1"/>
  <c r="O38" i="13"/>
  <c r="P38" i="13"/>
  <c r="V38" i="13" s="1"/>
  <c r="Q38" i="13"/>
  <c r="M36" i="13"/>
  <c r="N36" i="13"/>
  <c r="T36" i="13" s="1"/>
  <c r="H38" i="13" s="1"/>
  <c r="O36" i="13"/>
  <c r="P36" i="13"/>
  <c r="V36" i="13" s="1"/>
  <c r="Q36" i="13"/>
  <c r="M39" i="13"/>
  <c r="N39" i="13"/>
  <c r="T39" i="13" s="1"/>
  <c r="Y39" i="13" s="1"/>
  <c r="O39" i="13"/>
  <c r="P39" i="13"/>
  <c r="M37" i="13"/>
  <c r="N37" i="13"/>
  <c r="T37" i="13" s="1"/>
  <c r="H39" i="13" s="1"/>
  <c r="O37" i="13"/>
  <c r="P37" i="13"/>
  <c r="V37" i="13" s="1"/>
  <c r="G39" i="13" s="1"/>
  <c r="Q37" i="13"/>
  <c r="N40" i="13"/>
  <c r="T40" i="13" s="1"/>
  <c r="O40" i="13"/>
  <c r="P40" i="13"/>
  <c r="V40" i="13" s="1"/>
  <c r="Q40" i="13"/>
  <c r="M43" i="13"/>
  <c r="N43" i="13"/>
  <c r="T43" i="13" s="1"/>
  <c r="O43" i="13"/>
  <c r="P43" i="13"/>
  <c r="V43" i="13" s="1"/>
  <c r="Q43" i="13"/>
  <c r="M46" i="13"/>
  <c r="N46" i="13"/>
  <c r="T46" i="13" s="1"/>
  <c r="O46" i="13"/>
  <c r="P46" i="13"/>
  <c r="Q46" i="13"/>
  <c r="M44" i="13"/>
  <c r="N44" i="13"/>
  <c r="T44" i="13" s="1"/>
  <c r="H46" i="13" s="1"/>
  <c r="O44" i="13"/>
  <c r="P44" i="13"/>
  <c r="V44" i="13" s="1"/>
  <c r="G46" i="13" s="1"/>
  <c r="Q44" i="13"/>
  <c r="M47" i="13"/>
  <c r="N47" i="13"/>
  <c r="O47" i="13"/>
  <c r="P47" i="13"/>
  <c r="V47" i="13" s="1"/>
  <c r="Q47" i="13"/>
  <c r="M45" i="13"/>
  <c r="N45" i="13"/>
  <c r="T45" i="13" s="1"/>
  <c r="H47" i="13" s="1"/>
  <c r="O45" i="13"/>
  <c r="P45" i="13"/>
  <c r="V45" i="13" s="1"/>
  <c r="G47" i="13" s="1"/>
  <c r="Q45" i="13"/>
  <c r="M48" i="13"/>
  <c r="N48" i="13"/>
  <c r="T48" i="13" s="1"/>
  <c r="O48" i="13"/>
  <c r="P48" i="13"/>
  <c r="V48" i="13" s="1"/>
  <c r="Q48" i="13"/>
  <c r="M18" i="13"/>
  <c r="M26" i="13"/>
  <c r="M34" i="13"/>
  <c r="M42" i="13"/>
  <c r="M10" i="13"/>
  <c r="P6" i="13"/>
  <c r="V6" i="13" s="1"/>
  <c r="Q6" i="13"/>
  <c r="P7" i="13"/>
  <c r="V7" i="13" s="1"/>
  <c r="Q7" i="13"/>
  <c r="P8" i="13"/>
  <c r="V8" i="13" s="1"/>
  <c r="Q8" i="13"/>
  <c r="N3" i="13"/>
  <c r="T3" i="13" s="1"/>
  <c r="O3" i="13"/>
  <c r="P3" i="13"/>
  <c r="V3" i="13" s="1"/>
  <c r="Q3" i="13"/>
  <c r="M6" i="13"/>
  <c r="N6" i="13"/>
  <c r="T6" i="13" s="1"/>
  <c r="O6" i="13"/>
  <c r="N4" i="13"/>
  <c r="T4" i="13" s="1"/>
  <c r="O4" i="13"/>
  <c r="P4" i="13"/>
  <c r="V4" i="13" s="1"/>
  <c r="Q4" i="13"/>
  <c r="M7" i="13"/>
  <c r="N7" i="13"/>
  <c r="O7" i="13"/>
  <c r="N5" i="13"/>
  <c r="T5" i="13" s="1"/>
  <c r="O5" i="13"/>
  <c r="P5" i="13"/>
  <c r="V5" i="13" s="1"/>
  <c r="Q5" i="13"/>
  <c r="M8" i="13"/>
  <c r="N8" i="13"/>
  <c r="T8" i="13" s="1"/>
  <c r="O8" i="13"/>
  <c r="M2" i="13"/>
  <c r="I22" i="13" l="1"/>
  <c r="I23" i="13"/>
  <c r="C22" i="13" a="1"/>
  <c r="C22" i="13" s="1"/>
  <c r="H36" i="13"/>
  <c r="I38" i="13"/>
  <c r="H28" i="13"/>
  <c r="I14" i="13"/>
  <c r="I39" i="13"/>
  <c r="G13" i="13"/>
  <c r="C36" i="13" a="1"/>
  <c r="C36" i="13" s="1"/>
  <c r="H44" i="13"/>
  <c r="C21" i="13" a="1"/>
  <c r="C21" i="13" s="1"/>
  <c r="G45" i="13"/>
  <c r="G31" i="13"/>
  <c r="I31" i="13" s="1"/>
  <c r="G30" i="13"/>
  <c r="I30" i="13" s="1"/>
  <c r="H20" i="13"/>
  <c r="C23" i="13" a="1"/>
  <c r="C23" i="13" s="1"/>
  <c r="I13" i="13"/>
  <c r="H12" i="13"/>
  <c r="I15" i="13"/>
  <c r="I47" i="13"/>
  <c r="C44" i="13" a="1"/>
  <c r="C44" i="13" s="1"/>
  <c r="G44" i="13"/>
  <c r="H45" i="13"/>
  <c r="C45" i="13" a="1"/>
  <c r="C45" i="13" s="1"/>
  <c r="C46" i="13" a="1"/>
  <c r="C46" i="13" s="1"/>
  <c r="C47" i="13" a="1"/>
  <c r="C47" i="13" s="1"/>
  <c r="I46" i="13"/>
  <c r="C39" i="13" a="1"/>
  <c r="C39" i="13" s="1"/>
  <c r="G36" i="13"/>
  <c r="I36" i="13" s="1"/>
  <c r="C37" i="13" a="1"/>
  <c r="C37" i="13" s="1"/>
  <c r="H37" i="13"/>
  <c r="I37" i="13" s="1"/>
  <c r="C38" i="13" a="1"/>
  <c r="C38" i="13" s="1"/>
  <c r="C29" i="13" a="1"/>
  <c r="C29" i="13" s="1"/>
  <c r="C28" i="13" a="1"/>
  <c r="C28" i="13" s="1"/>
  <c r="C31" i="13" a="1"/>
  <c r="C31" i="13" s="1"/>
  <c r="H29" i="13"/>
  <c r="I29" i="13" s="1"/>
  <c r="C30" i="13" a="1"/>
  <c r="C30" i="13" s="1"/>
  <c r="G28" i="13"/>
  <c r="I21" i="13"/>
  <c r="G20" i="13"/>
  <c r="C20" i="13" a="1"/>
  <c r="C20" i="13" s="1"/>
  <c r="C13" i="13" a="1"/>
  <c r="C13" i="13" s="1"/>
  <c r="C15" i="13" a="1"/>
  <c r="C15" i="13" s="1"/>
  <c r="C12" i="13" a="1"/>
  <c r="C12" i="13" s="1"/>
  <c r="C14" i="13" a="1"/>
  <c r="C14" i="13" s="1"/>
  <c r="G12" i="13"/>
  <c r="Z48" i="13"/>
  <c r="Y46" i="13"/>
  <c r="Z46" i="13"/>
  <c r="Z30" i="13"/>
  <c r="Y8" i="13"/>
  <c r="Y14" i="13"/>
  <c r="Y48" i="13"/>
  <c r="Y13" i="13"/>
  <c r="Y43" i="13"/>
  <c r="Y27" i="13"/>
  <c r="Y5" i="13"/>
  <c r="Y45" i="13"/>
  <c r="Z13" i="13"/>
  <c r="Z43" i="13"/>
  <c r="Z10" i="13"/>
  <c r="Z9" i="13"/>
  <c r="Z34" i="13"/>
  <c r="Y33" i="13"/>
  <c r="Z29" i="13"/>
  <c r="Z26" i="13"/>
  <c r="Z18" i="13"/>
  <c r="Y40" i="13"/>
  <c r="Z40" i="13"/>
  <c r="Y22" i="13"/>
  <c r="Z22" i="13"/>
  <c r="Y47" i="13"/>
  <c r="Z47" i="13"/>
  <c r="Y38" i="13"/>
  <c r="Z38" i="13"/>
  <c r="Y31" i="13"/>
  <c r="Z31" i="13"/>
  <c r="Y24" i="13"/>
  <c r="Z24" i="13"/>
  <c r="Y15" i="13"/>
  <c r="Z15" i="13"/>
  <c r="Y7" i="13"/>
  <c r="Z7" i="13"/>
  <c r="Y6" i="13"/>
  <c r="Z6" i="13"/>
  <c r="Z32" i="13"/>
  <c r="Y32" i="13"/>
  <c r="Z16" i="13"/>
  <c r="Y16" i="13"/>
  <c r="Z14" i="13"/>
  <c r="Z39" i="13"/>
  <c r="Z23" i="13"/>
  <c r="Z8" i="13"/>
  <c r="Z21" i="13"/>
  <c r="Y21" i="13"/>
  <c r="Y36" i="13"/>
  <c r="Z36" i="13"/>
  <c r="Z20" i="13"/>
  <c r="Y20" i="13"/>
  <c r="Y37" i="13"/>
  <c r="Z37" i="13"/>
  <c r="Y4" i="13"/>
  <c r="Z4" i="13"/>
  <c r="Y19" i="13"/>
  <c r="Z19" i="13"/>
  <c r="E20" i="13" s="1"/>
  <c r="Y35" i="13"/>
  <c r="Z35" i="13"/>
  <c r="Y12" i="13"/>
  <c r="Z12" i="13"/>
  <c r="Y44" i="13"/>
  <c r="Z44" i="13"/>
  <c r="Y28" i="13"/>
  <c r="Z28" i="13"/>
  <c r="Z11" i="13"/>
  <c r="Z27" i="13"/>
  <c r="Z45" i="13"/>
  <c r="Z5" i="13"/>
  <c r="Z3" i="13"/>
  <c r="O31" i="10" l="1"/>
  <c r="O32" i="10"/>
  <c r="O33" i="10"/>
  <c r="O30" i="10"/>
  <c r="I20" i="13"/>
  <c r="I28" i="13"/>
  <c r="I12" i="13"/>
  <c r="I45" i="13"/>
  <c r="D46" i="13"/>
  <c r="D45" i="13"/>
  <c r="D44" i="13"/>
  <c r="D47" i="13"/>
  <c r="F47" i="13" s="1"/>
  <c r="I44" i="13"/>
  <c r="D20" i="13"/>
  <c r="D21" i="13"/>
  <c r="D22" i="13"/>
  <c r="D23" i="13"/>
  <c r="F20" i="13"/>
  <c r="E44" i="13"/>
  <c r="F44" i="13" s="1"/>
  <c r="E46" i="13"/>
  <c r="F46" i="13" s="1"/>
  <c r="E47" i="13"/>
  <c r="E45" i="13"/>
  <c r="F45" i="13" s="1"/>
  <c r="E38" i="13"/>
  <c r="E37" i="13"/>
  <c r="E39" i="13"/>
  <c r="E36" i="13"/>
  <c r="D39" i="13"/>
  <c r="F39" i="13" s="1"/>
  <c r="D36" i="13"/>
  <c r="D38" i="13"/>
  <c r="D37" i="13"/>
  <c r="D30" i="13"/>
  <c r="D28" i="13"/>
  <c r="D29" i="13"/>
  <c r="D31" i="13"/>
  <c r="E28" i="13"/>
  <c r="E29" i="13"/>
  <c r="E30" i="13"/>
  <c r="E31" i="13"/>
  <c r="E23" i="13"/>
  <c r="E21" i="13"/>
  <c r="E22" i="13"/>
  <c r="E14" i="13"/>
  <c r="E15" i="13"/>
  <c r="E12" i="13"/>
  <c r="E13" i="13"/>
  <c r="D14" i="13"/>
  <c r="D15" i="13"/>
  <c r="D13" i="13"/>
  <c r="F13" i="13" s="1"/>
  <c r="D12" i="13"/>
  <c r="E5" i="13"/>
  <c r="E6" i="13"/>
  <c r="E7" i="13"/>
  <c r="F37" i="13" l="1"/>
  <c r="F38" i="13"/>
  <c r="F31" i="13"/>
  <c r="F28" i="13"/>
  <c r="K46" i="13"/>
  <c r="K47" i="13"/>
  <c r="K44" i="13"/>
  <c r="K45" i="13"/>
  <c r="K37" i="13"/>
  <c r="K38" i="13"/>
  <c r="F36" i="13"/>
  <c r="K36" i="13" s="1"/>
  <c r="K39" i="13"/>
  <c r="K31" i="13"/>
  <c r="K28" i="13"/>
  <c r="F29" i="13"/>
  <c r="K29" i="13" s="1"/>
  <c r="F30" i="13"/>
  <c r="K30" i="13" s="1"/>
  <c r="F22" i="13"/>
  <c r="K22" i="13" s="1"/>
  <c r="F23" i="13"/>
  <c r="K23" i="13" s="1"/>
  <c r="F21" i="13"/>
  <c r="K21" i="13" s="1"/>
  <c r="K20" i="13"/>
  <c r="K13" i="13"/>
  <c r="F15" i="13"/>
  <c r="K15" i="13" s="1"/>
  <c r="F14" i="13"/>
  <c r="K14" i="13" s="1"/>
  <c r="F12" i="13"/>
  <c r="K12" i="13" s="1"/>
  <c r="B44" i="13" l="1"/>
  <c r="B45" i="13"/>
  <c r="B46" i="13"/>
  <c r="B47" i="13"/>
  <c r="B36" i="13"/>
  <c r="B38" i="13"/>
  <c r="B39" i="13"/>
  <c r="B28" i="13"/>
  <c r="B29" i="13"/>
  <c r="B30" i="13"/>
  <c r="B31" i="13"/>
  <c r="B21" i="13"/>
  <c r="B22" i="13"/>
  <c r="B23" i="13"/>
  <c r="B20" i="13"/>
  <c r="B12" i="13"/>
  <c r="B13" i="13"/>
  <c r="B14" i="13"/>
  <c r="B15" i="13"/>
  <c r="B4" i="13"/>
  <c r="B5" i="13"/>
  <c r="B6" i="13"/>
  <c r="B7" i="13"/>
  <c r="AG17" i="10"/>
  <c r="AN17" i="10" s="1"/>
  <c r="W22" i="11" s="1"/>
  <c r="AF17" i="10"/>
  <c r="AN16" i="10" s="1"/>
  <c r="M22" i="8" s="1"/>
  <c r="AG16" i="10"/>
  <c r="AJ17" i="10" s="1"/>
  <c r="P22" i="8" s="1"/>
  <c r="AF16" i="10"/>
  <c r="AJ16" i="10" s="1"/>
  <c r="L22" i="8" s="1"/>
  <c r="AG14" i="10"/>
  <c r="AN14" i="10" s="1"/>
  <c r="K25" i="11" s="1"/>
  <c r="AF14" i="10"/>
  <c r="AN13" i="10" s="1"/>
  <c r="E24" i="8" s="1"/>
  <c r="AG13" i="10"/>
  <c r="AJ14" i="10" s="1"/>
  <c r="J25" i="11" s="1"/>
  <c r="AF13" i="10"/>
  <c r="AJ13" i="10" s="1"/>
  <c r="D24" i="8" s="1"/>
  <c r="W31" i="10"/>
  <c r="AE30" i="10" s="1"/>
  <c r="K23" i="11" s="1"/>
  <c r="W30" i="10"/>
  <c r="AA30" i="10" s="1"/>
  <c r="J23" i="11" s="1"/>
  <c r="X31" i="10"/>
  <c r="AE31" i="10" s="1"/>
  <c r="K22" i="11" s="1"/>
  <c r="X30" i="10"/>
  <c r="AA31" i="10" s="1"/>
  <c r="J22" i="11" s="1"/>
  <c r="X25" i="10"/>
  <c r="AE25" i="10" s="1"/>
  <c r="E22" i="11" s="1"/>
  <c r="X24" i="10"/>
  <c r="AA25" i="10" s="1"/>
  <c r="D22" i="11" s="1"/>
  <c r="W25" i="10"/>
  <c r="AE24" i="10" s="1"/>
  <c r="E23" i="8" s="1"/>
  <c r="W24" i="10"/>
  <c r="AA24" i="10" s="1"/>
  <c r="D23" i="11" s="1"/>
  <c r="AG6" i="10"/>
  <c r="AN6" i="10" s="1"/>
  <c r="W23" i="11" s="1"/>
  <c r="AG5" i="10"/>
  <c r="AJ6" i="10" s="1"/>
  <c r="V23" i="11" s="1"/>
  <c r="AF6" i="10"/>
  <c r="AN5" i="10" s="1"/>
  <c r="Q23" i="11" s="1"/>
  <c r="AF5" i="10"/>
  <c r="AJ5" i="10" s="1"/>
  <c r="P23" i="11" s="1"/>
  <c r="AG3" i="10"/>
  <c r="AN3" i="10" s="1"/>
  <c r="I24" i="8" s="1"/>
  <c r="AF3" i="10"/>
  <c r="AN2" i="10" s="1"/>
  <c r="E25" i="8" s="1"/>
  <c r="X16" i="10"/>
  <c r="AE17" i="10" s="1"/>
  <c r="E19" i="11" s="1"/>
  <c r="W16" i="10"/>
  <c r="AE14" i="10" s="1"/>
  <c r="K19" i="11" s="1"/>
  <c r="X15" i="10"/>
  <c r="AE16" i="10" s="1"/>
  <c r="E18" i="8" s="1"/>
  <c r="W15" i="10"/>
  <c r="AE13" i="10" s="1"/>
  <c r="K18" i="11" s="1"/>
  <c r="X14" i="10"/>
  <c r="AA17" i="10" s="1"/>
  <c r="D19" i="8" s="1"/>
  <c r="W14" i="10"/>
  <c r="AA14" i="10" s="1"/>
  <c r="H19" i="8" s="1"/>
  <c r="X13" i="10"/>
  <c r="AA16" i="10" s="1"/>
  <c r="D18" i="8" s="1"/>
  <c r="W13" i="10"/>
  <c r="AA13" i="10" s="1"/>
  <c r="H18" i="8" s="1"/>
  <c r="X5" i="10"/>
  <c r="AE6" i="10" s="1"/>
  <c r="M21" i="8" s="1"/>
  <c r="X4" i="10"/>
  <c r="AE5" i="10" s="1"/>
  <c r="E20" i="8" s="1"/>
  <c r="X3" i="10"/>
  <c r="AA6" i="10" s="1"/>
  <c r="L21" i="8" s="1"/>
  <c r="W5" i="10"/>
  <c r="AE3" i="10" s="1"/>
  <c r="Q21" i="8" s="1"/>
  <c r="W4" i="10"/>
  <c r="AE2" i="10" s="1"/>
  <c r="W3" i="10"/>
  <c r="AA3" i="10" s="1"/>
  <c r="P21" i="8" s="1"/>
  <c r="X2" i="10"/>
  <c r="AA5" i="10" s="1"/>
  <c r="D20" i="8" s="1"/>
  <c r="W2" i="10"/>
  <c r="AA2" i="10" s="1"/>
  <c r="V31" i="10"/>
  <c r="E17" i="11" s="1"/>
  <c r="R31" i="10"/>
  <c r="D17" i="8" s="1"/>
  <c r="V30" i="10"/>
  <c r="I17" i="8" s="1"/>
  <c r="R30" i="10"/>
  <c r="H17" i="8" s="1"/>
  <c r="V24" i="10"/>
  <c r="I16" i="8" s="1"/>
  <c r="R25" i="10"/>
  <c r="R24" i="10"/>
  <c r="H16" i="8" s="1"/>
  <c r="R16" i="10"/>
  <c r="L17" i="8" s="1"/>
  <c r="R15" i="10"/>
  <c r="V17" i="11" s="1"/>
  <c r="R14" i="10"/>
  <c r="P16" i="11" s="1"/>
  <c r="R13" i="10"/>
  <c r="V16" i="11" s="1"/>
  <c r="V4" i="10"/>
  <c r="M18" i="8" s="1"/>
  <c r="V2" i="10"/>
  <c r="Q18" i="8" s="1"/>
  <c r="R5" i="10"/>
  <c r="P19" i="8" s="1"/>
  <c r="R3" i="10"/>
  <c r="P19" i="11" s="1"/>
  <c r="B24" i="11"/>
  <c r="Z25" i="11" a="1"/>
  <c r="Z25" i="11" s="1"/>
  <c r="B25" i="11" s="1"/>
  <c r="B5" i="11"/>
  <c r="B4" i="11"/>
  <c r="B3" i="11"/>
  <c r="Z24" i="11" a="1"/>
  <c r="Z24" i="11" s="1"/>
  <c r="AN24" i="11" s="1" a="1"/>
  <c r="AN24" i="11" s="1"/>
  <c r="Z23" i="11" a="1"/>
  <c r="Z23" i="11" s="1"/>
  <c r="AN23" i="11" s="1" a="1"/>
  <c r="AN23" i="11" s="1"/>
  <c r="Z22" i="11" a="1"/>
  <c r="Z22" i="11" s="1"/>
  <c r="AN22" i="11" s="1" a="1"/>
  <c r="AN22" i="11" s="1"/>
  <c r="Z21" i="11" a="1"/>
  <c r="Z21" i="11" s="1"/>
  <c r="AN21" i="11" s="1" a="1"/>
  <c r="AN21" i="11" s="1"/>
  <c r="Z20" i="11" a="1"/>
  <c r="Z20" i="11" s="1"/>
  <c r="AN20" i="11" s="1" a="1"/>
  <c r="AN20" i="11" s="1"/>
  <c r="Z19" i="11" a="1"/>
  <c r="Z19" i="11" s="1"/>
  <c r="AN19" i="11" s="1" a="1"/>
  <c r="AN19" i="11" s="1"/>
  <c r="Z18" i="11" a="1"/>
  <c r="Z18" i="11" s="1"/>
  <c r="AN18" i="11" s="1" a="1"/>
  <c r="AN18" i="11" s="1"/>
  <c r="Z17" i="11" a="1"/>
  <c r="Z17" i="11" s="1"/>
  <c r="AN17" i="11" s="1" a="1"/>
  <c r="AN17" i="11" s="1"/>
  <c r="Z16" i="11" a="1"/>
  <c r="Z16" i="11" s="1"/>
  <c r="AN16" i="11" s="1" a="1"/>
  <c r="AN16" i="11" s="1"/>
  <c r="Z15" i="11" a="1"/>
  <c r="Z15" i="11" s="1"/>
  <c r="Z14" i="11" a="1"/>
  <c r="Z14" i="11" s="1"/>
  <c r="Z13" i="11" a="1"/>
  <c r="Z13" i="11" s="1"/>
  <c r="Z12" i="11" a="1"/>
  <c r="Z12" i="11" s="1"/>
  <c r="AN12" i="11" s="1" a="1"/>
  <c r="AN12" i="11" s="1"/>
  <c r="Z11" i="11" a="1"/>
  <c r="Z11" i="11" s="1"/>
  <c r="AN11" i="11" s="1" a="1"/>
  <c r="AN11" i="11" s="1"/>
  <c r="Z10" i="11" a="1"/>
  <c r="Z10" i="11" s="1"/>
  <c r="AN10" i="11" s="1" a="1"/>
  <c r="AN10" i="11" s="1"/>
  <c r="Z9" i="11" a="1"/>
  <c r="Z9" i="11" s="1"/>
  <c r="AN9" i="11" s="1" a="1"/>
  <c r="AN9" i="11" s="1"/>
  <c r="Z8" i="11" a="1"/>
  <c r="Z8" i="11" s="1"/>
  <c r="AN8" i="11" s="1" a="1"/>
  <c r="AN8" i="11" s="1"/>
  <c r="Z7" i="11" a="1"/>
  <c r="Z7" i="11" s="1"/>
  <c r="AN7" i="11" s="1" a="1"/>
  <c r="AN7" i="11" s="1"/>
  <c r="Z6" i="11" a="1"/>
  <c r="Z6" i="11" s="1"/>
  <c r="AN6" i="11" s="1" a="1"/>
  <c r="AN6" i="11" s="1"/>
  <c r="Z5" i="11" a="1"/>
  <c r="Z5" i="11" s="1"/>
  <c r="AN5" i="11" s="1" a="1"/>
  <c r="AN5" i="11" s="1"/>
  <c r="Z4" i="11" a="1"/>
  <c r="Z4" i="11" s="1"/>
  <c r="AN4" i="11" s="1" a="1"/>
  <c r="AN4" i="11" s="1"/>
  <c r="Z3" i="11" a="1"/>
  <c r="Z3" i="11" s="1"/>
  <c r="AN3" i="11" s="1" a="1"/>
  <c r="AN3" i="11" s="1"/>
  <c r="W17" i="11"/>
  <c r="W16" i="11"/>
  <c r="Q17" i="11"/>
  <c r="Q16" i="11"/>
  <c r="K17" i="11"/>
  <c r="J17" i="11"/>
  <c r="K16" i="11"/>
  <c r="J16" i="11"/>
  <c r="E16" i="11"/>
  <c r="D16" i="11"/>
  <c r="D16" i="8"/>
  <c r="E16" i="8"/>
  <c r="Q17" i="8"/>
  <c r="M16" i="8"/>
  <c r="M17" i="8"/>
  <c r="Q16" i="8"/>
  <c r="F31" i="10"/>
  <c r="L32" i="10" s="1"/>
  <c r="Q11" i="8" s="1"/>
  <c r="F32" i="10"/>
  <c r="H31" i="10" s="1"/>
  <c r="H8" i="8" s="1"/>
  <c r="F30" i="10"/>
  <c r="M4" i="8" s="1"/>
  <c r="B27" i="10"/>
  <c r="P9" i="8" s="1"/>
  <c r="B26" i="10"/>
  <c r="D6" i="8" s="1"/>
  <c r="F26" i="10"/>
  <c r="H25" i="10" s="1"/>
  <c r="P3" i="8" s="1"/>
  <c r="F27" i="10"/>
  <c r="H26" i="10" s="1"/>
  <c r="H6" i="8" s="1"/>
  <c r="F25" i="10"/>
  <c r="B25" i="10"/>
  <c r="L3" i="8" s="1"/>
  <c r="B21" i="10"/>
  <c r="B20" i="10"/>
  <c r="L9" i="8" s="1"/>
  <c r="F9" i="10"/>
  <c r="H8" i="10" s="1"/>
  <c r="P5" i="8" s="1"/>
  <c r="F10" i="10"/>
  <c r="H9" i="10" s="1"/>
  <c r="H9" i="8" s="1"/>
  <c r="F8" i="10"/>
  <c r="L9" i="10" s="1"/>
  <c r="I9" i="8" s="1"/>
  <c r="B10" i="10"/>
  <c r="D12" i="8" s="1"/>
  <c r="B9" i="10"/>
  <c r="D9" i="8" s="1"/>
  <c r="B8" i="10"/>
  <c r="L5" i="8" s="1"/>
  <c r="F4" i="10"/>
  <c r="L5" i="10" s="1"/>
  <c r="I11" i="8" s="1"/>
  <c r="F5" i="10"/>
  <c r="M11" i="8" s="1"/>
  <c r="F3" i="10"/>
  <c r="E3" i="8" s="1"/>
  <c r="I25" i="9"/>
  <c r="I22" i="9"/>
  <c r="B30" i="10" s="1"/>
  <c r="L4" i="8" s="1"/>
  <c r="H25" i="9"/>
  <c r="H23" i="9"/>
  <c r="B37" i="13" s="1"/>
  <c r="I24" i="9"/>
  <c r="H24" i="9"/>
  <c r="I23" i="9"/>
  <c r="H22" i="9"/>
  <c r="I15" i="9"/>
  <c r="F21" i="10" s="1"/>
  <c r="I14" i="9"/>
  <c r="F20" i="10" s="1"/>
  <c r="M9" i="8" s="1"/>
  <c r="I13" i="9"/>
  <c r="F19" i="10" s="1"/>
  <c r="L20" i="10" s="1"/>
  <c r="M10" i="8" s="1"/>
  <c r="I12" i="9"/>
  <c r="B19" i="10" s="1"/>
  <c r="D5" i="8" s="1"/>
  <c r="H15" i="9"/>
  <c r="F16" i="10" s="1"/>
  <c r="H15" i="10" s="1"/>
  <c r="P8" i="8" s="1"/>
  <c r="H14" i="9"/>
  <c r="F15" i="10" s="1"/>
  <c r="Q7" i="8" s="1"/>
  <c r="H13" i="9"/>
  <c r="F14" i="10" s="1"/>
  <c r="H16" i="10" s="1"/>
  <c r="H12" i="9"/>
  <c r="B16" i="10" s="1"/>
  <c r="I5" i="9"/>
  <c r="I4" i="9"/>
  <c r="I3" i="9"/>
  <c r="H5" i="9"/>
  <c r="H4" i="9"/>
  <c r="H3" i="9"/>
  <c r="I2" i="9"/>
  <c r="H2" i="9"/>
  <c r="B5" i="10" s="1"/>
  <c r="Q16" i="1"/>
  <c r="P16" i="1"/>
  <c r="Q15" i="1"/>
  <c r="P15" i="1"/>
  <c r="Q14" i="1"/>
  <c r="P14" i="1"/>
  <c r="N16" i="1"/>
  <c r="N15" i="1"/>
  <c r="N14" i="1"/>
  <c r="M16" i="1"/>
  <c r="M15" i="1"/>
  <c r="M14" i="1"/>
  <c r="J17" i="1"/>
  <c r="J16" i="1"/>
  <c r="J15" i="1"/>
  <c r="J14" i="1"/>
  <c r="AN3" i="5" a="1"/>
  <c r="AN3" i="5" s="1"/>
  <c r="I10" i="5"/>
  <c r="D32" i="5"/>
  <c r="Z4" i="5" a="1"/>
  <c r="Z4" i="5" s="1"/>
  <c r="AN4" i="5" s="1" a="1"/>
  <c r="AN4" i="5" s="1"/>
  <c r="Z5" i="5" a="1"/>
  <c r="Z5" i="5" s="1"/>
  <c r="AN5" i="5" s="1" a="1"/>
  <c r="AN5" i="5" s="1"/>
  <c r="Z6" i="5" a="1"/>
  <c r="Z6" i="5" s="1"/>
  <c r="AN6" i="5" s="1" a="1"/>
  <c r="AN6" i="5" s="1"/>
  <c r="Z7" i="5" a="1"/>
  <c r="Z7" i="5" s="1"/>
  <c r="Z8" i="5" a="1"/>
  <c r="Z8" i="5" s="1"/>
  <c r="AN8" i="5" s="1" a="1"/>
  <c r="AN8" i="5" s="1"/>
  <c r="Z9" i="5" a="1"/>
  <c r="Z9" i="5" s="1"/>
  <c r="AN9" i="5" s="1" a="1"/>
  <c r="AN9" i="5" s="1"/>
  <c r="Z10" i="5" a="1"/>
  <c r="Z10" i="5" s="1"/>
  <c r="AN10" i="5" s="1" a="1"/>
  <c r="AN10" i="5" s="1"/>
  <c r="Z11" i="5" a="1"/>
  <c r="Z11" i="5" s="1"/>
  <c r="Z12" i="5" a="1"/>
  <c r="Z12" i="5" s="1"/>
  <c r="Z13" i="5" a="1"/>
  <c r="Z13" i="5" s="1"/>
  <c r="AN13" i="5" s="1" a="1"/>
  <c r="AN13" i="5" s="1"/>
  <c r="Z14" i="5" a="1"/>
  <c r="Z14" i="5" s="1"/>
  <c r="AN14" i="5" s="1" a="1"/>
  <c r="AN14" i="5" s="1"/>
  <c r="Z15" i="5" a="1"/>
  <c r="Z15" i="5" s="1"/>
  <c r="AN15" i="5" s="1" a="1"/>
  <c r="AN15" i="5" s="1"/>
  <c r="Z16" i="5" a="1"/>
  <c r="Z16" i="5" s="1"/>
  <c r="AN16" i="5" s="1" a="1"/>
  <c r="AN16" i="5" s="1"/>
  <c r="Z17" i="5" a="1"/>
  <c r="Z17" i="5" s="1"/>
  <c r="Z18" i="5" a="1"/>
  <c r="Z18" i="5" s="1"/>
  <c r="AN18" i="5" s="1" a="1"/>
  <c r="AN18" i="5" s="1"/>
  <c r="Z19" i="5" a="1"/>
  <c r="Z19" i="5" s="1"/>
  <c r="AN19" i="5" s="1" a="1"/>
  <c r="AN19" i="5" s="1"/>
  <c r="Z20" i="5" a="1"/>
  <c r="Z20" i="5" s="1"/>
  <c r="AN20" i="5" s="1" a="1"/>
  <c r="AN20" i="5" s="1"/>
  <c r="Z21" i="5" a="1"/>
  <c r="Z21" i="5" s="1"/>
  <c r="AN21" i="5" s="1" a="1"/>
  <c r="AN21" i="5" s="1"/>
  <c r="Z22" i="5" a="1"/>
  <c r="Z22" i="5" s="1"/>
  <c r="Z23" i="5" a="1"/>
  <c r="Z23" i="5" s="1"/>
  <c r="Z24" i="5" a="1"/>
  <c r="Z24" i="5" s="1"/>
  <c r="Z25" i="5" a="1"/>
  <c r="Z25" i="5" s="1"/>
  <c r="AN25" i="5" s="1" a="1"/>
  <c r="AN25" i="5" s="1"/>
  <c r="Z3" i="5" a="1"/>
  <c r="Z3" i="5" s="1"/>
  <c r="D47" i="5"/>
  <c r="D48" i="5"/>
  <c r="C52" i="6" a="1"/>
  <c r="C52" i="6" s="1"/>
  <c r="D16" i="5"/>
  <c r="J16" i="5"/>
  <c r="P17" i="8" l="1"/>
  <c r="L11" i="8"/>
  <c r="M5" i="13"/>
  <c r="S5" i="13" s="1"/>
  <c r="E4" i="13"/>
  <c r="L26" i="10"/>
  <c r="Q35" i="13"/>
  <c r="W35" i="13" s="1"/>
  <c r="P17" i="11"/>
  <c r="L16" i="8"/>
  <c r="E17" i="8"/>
  <c r="E23" i="11"/>
  <c r="H20" i="8"/>
  <c r="AF2" i="10"/>
  <c r="AJ2" i="10" s="1"/>
  <c r="D25" i="11" s="1"/>
  <c r="I20" i="8"/>
  <c r="AG2" i="10"/>
  <c r="AJ3" i="10" s="1"/>
  <c r="J24" i="11" s="1"/>
  <c r="E18" i="11"/>
  <c r="P16" i="8"/>
  <c r="Q22" i="8"/>
  <c r="E8" i="11"/>
  <c r="D18" i="11"/>
  <c r="I25" i="8"/>
  <c r="D9" i="11"/>
  <c r="D6" i="11"/>
  <c r="P21" i="11"/>
  <c r="J6" i="11"/>
  <c r="P9" i="11"/>
  <c r="K6" i="11"/>
  <c r="I19" i="8"/>
  <c r="D24" i="11"/>
  <c r="E24" i="11"/>
  <c r="W18" i="11"/>
  <c r="J8" i="11"/>
  <c r="W21" i="11"/>
  <c r="V21" i="11"/>
  <c r="D10" i="11"/>
  <c r="V19" i="11"/>
  <c r="J18" i="11"/>
  <c r="E19" i="8"/>
  <c r="I18" i="8"/>
  <c r="P11" i="11"/>
  <c r="J19" i="11"/>
  <c r="E3" i="11"/>
  <c r="H22" i="8"/>
  <c r="Q11" i="11"/>
  <c r="D22" i="8"/>
  <c r="J20" i="11"/>
  <c r="H25" i="8"/>
  <c r="L23" i="8"/>
  <c r="V9" i="11"/>
  <c r="K24" i="11"/>
  <c r="K11" i="11"/>
  <c r="Q9" i="11"/>
  <c r="P23" i="8"/>
  <c r="W9" i="11"/>
  <c r="W11" i="11"/>
  <c r="V3" i="11"/>
  <c r="Q18" i="11"/>
  <c r="K9" i="11"/>
  <c r="M23" i="8"/>
  <c r="I22" i="8"/>
  <c r="E10" i="11"/>
  <c r="Q3" i="11"/>
  <c r="V5" i="11"/>
  <c r="K20" i="11"/>
  <c r="Q22" i="11"/>
  <c r="E25" i="11"/>
  <c r="Q21" i="11"/>
  <c r="D19" i="11"/>
  <c r="Q23" i="8"/>
  <c r="E11" i="11"/>
  <c r="Q4" i="11"/>
  <c r="D20" i="11"/>
  <c r="Q10" i="11"/>
  <c r="D5" i="11"/>
  <c r="J9" i="11"/>
  <c r="E9" i="11"/>
  <c r="L19" i="8"/>
  <c r="D12" i="11"/>
  <c r="P5" i="11"/>
  <c r="E20" i="11"/>
  <c r="V22" i="11"/>
  <c r="E5" i="11"/>
  <c r="E22" i="8"/>
  <c r="E6" i="11"/>
  <c r="H23" i="8"/>
  <c r="D23" i="8"/>
  <c r="I23" i="8"/>
  <c r="P3" i="11"/>
  <c r="P22" i="11"/>
  <c r="E12" i="11"/>
  <c r="Q5" i="11"/>
  <c r="W7" i="11"/>
  <c r="V8" i="11"/>
  <c r="K3" i="11"/>
  <c r="Q7" i="11"/>
  <c r="D17" i="11"/>
  <c r="B31" i="10"/>
  <c r="D8" i="8" s="1"/>
  <c r="P4" i="11"/>
  <c r="B32" i="10"/>
  <c r="AN25" i="11" a="1"/>
  <c r="AN25" i="11" s="1"/>
  <c r="B6" i="11"/>
  <c r="B23" i="11"/>
  <c r="B19" i="11"/>
  <c r="B21" i="11"/>
  <c r="B20" i="11"/>
  <c r="B18" i="11"/>
  <c r="B17" i="11"/>
  <c r="B22" i="11"/>
  <c r="B10" i="11"/>
  <c r="B12" i="11"/>
  <c r="B11" i="11"/>
  <c r="B9" i="11"/>
  <c r="B8" i="11"/>
  <c r="B7" i="11"/>
  <c r="B16" i="11"/>
  <c r="M7" i="8"/>
  <c r="L10" i="10"/>
  <c r="H32" i="10"/>
  <c r="M5" i="8"/>
  <c r="L31" i="10"/>
  <c r="H10" i="10"/>
  <c r="Q9" i="8"/>
  <c r="E12" i="8"/>
  <c r="D10" i="8"/>
  <c r="L4" i="10"/>
  <c r="L3" i="10"/>
  <c r="E4" i="11" s="1"/>
  <c r="E10" i="8"/>
  <c r="E9" i="8"/>
  <c r="L25" i="10"/>
  <c r="H5" i="10"/>
  <c r="L27" i="10"/>
  <c r="E6" i="8"/>
  <c r="H4" i="10"/>
  <c r="L8" i="10"/>
  <c r="E8" i="8"/>
  <c r="E11" i="8"/>
  <c r="H3" i="10"/>
  <c r="D4" i="11" s="1"/>
  <c r="H27" i="10"/>
  <c r="M40" i="13" s="1"/>
  <c r="S40" i="13" s="1"/>
  <c r="L30" i="10"/>
  <c r="M3" i="8"/>
  <c r="L16" i="10"/>
  <c r="H14" i="10"/>
  <c r="E5" i="8"/>
  <c r="B15" i="10"/>
  <c r="H21" i="10"/>
  <c r="B14" i="10"/>
  <c r="H19" i="10"/>
  <c r="L21" i="10"/>
  <c r="H20" i="10"/>
  <c r="L19" i="10"/>
  <c r="L14" i="10"/>
  <c r="I3" i="8"/>
  <c r="L15" i="10"/>
  <c r="H30" i="10"/>
  <c r="B4" i="10"/>
  <c r="M4" i="13" s="1"/>
  <c r="S4" i="13" s="1"/>
  <c r="B3" i="10"/>
  <c r="M3" i="13" s="1"/>
  <c r="S3" i="13" s="1"/>
  <c r="G4" i="13" s="1"/>
  <c r="AN23" i="5" a="1"/>
  <c r="AN23" i="5" s="1"/>
  <c r="B23" i="5"/>
  <c r="AN22" i="5" a="1"/>
  <c r="AN22" i="5" s="1"/>
  <c r="B22" i="5"/>
  <c r="AN7" i="5" a="1"/>
  <c r="AN7" i="5" s="1"/>
  <c r="B7" i="5"/>
  <c r="AN11" i="5" a="1"/>
  <c r="AN11" i="5" s="1"/>
  <c r="B11" i="5"/>
  <c r="B17" i="5"/>
  <c r="AN17" i="5" a="1"/>
  <c r="AN17" i="5" s="1"/>
  <c r="B24" i="5"/>
  <c r="AN24" i="5" a="1"/>
  <c r="AN24" i="5" s="1"/>
  <c r="AN12" i="5" a="1"/>
  <c r="AN12" i="5" s="1"/>
  <c r="B13" i="5"/>
  <c r="B6" i="5"/>
  <c r="B21" i="5"/>
  <c r="B19" i="5"/>
  <c r="B18" i="5"/>
  <c r="B20" i="5"/>
  <c r="B3" i="5"/>
  <c r="B5" i="5"/>
  <c r="B25" i="5"/>
  <c r="B4" i="5"/>
  <c r="B12" i="5"/>
  <c r="B10" i="5"/>
  <c r="B9" i="5"/>
  <c r="B8" i="5"/>
  <c r="V16" i="5"/>
  <c r="P16" i="5"/>
  <c r="U13" i="5"/>
  <c r="I13" i="5"/>
  <c r="U12" i="5"/>
  <c r="I12" i="5"/>
  <c r="U11" i="5"/>
  <c r="I11" i="5"/>
  <c r="U10" i="5"/>
  <c r="U9" i="5"/>
  <c r="I9" i="5"/>
  <c r="U8" i="5"/>
  <c r="I8" i="5"/>
  <c r="U7" i="5"/>
  <c r="I6" i="5"/>
  <c r="U5" i="5"/>
  <c r="I5" i="5"/>
  <c r="U4" i="5"/>
  <c r="I4" i="5"/>
  <c r="U3" i="5"/>
  <c r="I3" i="5"/>
  <c r="G6" i="4"/>
  <c r="G5" i="4"/>
  <c r="G4" i="4"/>
  <c r="G3" i="4"/>
  <c r="G13" i="4"/>
  <c r="G12" i="4"/>
  <c r="G11" i="4"/>
  <c r="G10" i="4"/>
  <c r="G9" i="4"/>
  <c r="G8" i="4"/>
  <c r="O10" i="4"/>
  <c r="O11" i="4"/>
  <c r="O12" i="4"/>
  <c r="O13" i="4"/>
  <c r="O9" i="4"/>
  <c r="O8" i="4"/>
  <c r="O7" i="4"/>
  <c r="O4" i="4"/>
  <c r="O5" i="4"/>
  <c r="O3" i="4"/>
  <c r="P16" i="4"/>
  <c r="L16" i="4"/>
  <c r="Q8" i="1"/>
  <c r="P8" i="1"/>
  <c r="N8" i="1"/>
  <c r="M8" i="1"/>
  <c r="J5" i="1"/>
  <c r="J6" i="1"/>
  <c r="J7" i="1"/>
  <c r="J8" i="1"/>
  <c r="J4" i="1"/>
  <c r="Q7" i="1"/>
  <c r="P7" i="1"/>
  <c r="Q6" i="1"/>
  <c r="P6" i="1"/>
  <c r="Q5" i="1"/>
  <c r="P5" i="1"/>
  <c r="N7" i="1"/>
  <c r="M7" i="1"/>
  <c r="N6" i="1"/>
  <c r="N5" i="1"/>
  <c r="M6" i="1"/>
  <c r="M5" i="1"/>
  <c r="Q4" i="1"/>
  <c r="P4" i="1"/>
  <c r="N4" i="1"/>
  <c r="M4" i="1"/>
  <c r="H24" i="8" l="1"/>
  <c r="C4" i="13" a="1"/>
  <c r="C4" i="13" s="1"/>
  <c r="H4" i="13"/>
  <c r="I4" i="13" s="1"/>
  <c r="G7" i="13"/>
  <c r="G6" i="13"/>
  <c r="C6" i="13" a="1"/>
  <c r="C6" i="13" s="1"/>
  <c r="H5" i="13"/>
  <c r="H7" i="13"/>
  <c r="H6" i="13"/>
  <c r="G5" i="13"/>
  <c r="C5" i="13" a="1"/>
  <c r="C5" i="13" s="1"/>
  <c r="Y3" i="13"/>
  <c r="C7" i="13" a="1"/>
  <c r="C7" i="13" s="1"/>
  <c r="I6" i="8"/>
  <c r="Q39" i="13"/>
  <c r="W39" i="13" s="1"/>
  <c r="D25" i="8"/>
  <c r="P7" i="8"/>
  <c r="V7" i="11"/>
  <c r="H4" i="8"/>
  <c r="J4" i="11"/>
  <c r="M8" i="8"/>
  <c r="Q8" i="11"/>
  <c r="I8" i="8"/>
  <c r="K8" i="11"/>
  <c r="P11" i="8"/>
  <c r="V11" i="11"/>
  <c r="P4" i="8"/>
  <c r="V4" i="11"/>
  <c r="Q4" i="8"/>
  <c r="W4" i="11"/>
  <c r="I12" i="8"/>
  <c r="K12" i="11"/>
  <c r="L8" i="8"/>
  <c r="P8" i="11"/>
  <c r="L10" i="8"/>
  <c r="P10" i="11"/>
  <c r="Q10" i="8"/>
  <c r="W10" i="11"/>
  <c r="P10" i="8"/>
  <c r="V10" i="11"/>
  <c r="D3" i="11"/>
  <c r="L7" i="8"/>
  <c r="P7" i="11"/>
  <c r="Q5" i="8"/>
  <c r="W5" i="11"/>
  <c r="I5" i="8"/>
  <c r="K5" i="11"/>
  <c r="H11" i="8"/>
  <c r="J11" i="11"/>
  <c r="H3" i="8"/>
  <c r="J3" i="11"/>
  <c r="H12" i="8"/>
  <c r="J12" i="11"/>
  <c r="Q8" i="8"/>
  <c r="W8" i="11"/>
  <c r="I4" i="8"/>
  <c r="K4" i="11"/>
  <c r="H5" i="8"/>
  <c r="J5" i="11"/>
  <c r="Q3" i="8"/>
  <c r="W3" i="11"/>
  <c r="D8" i="11"/>
  <c r="D11" i="8"/>
  <c r="D11" i="11"/>
  <c r="D4" i="8"/>
  <c r="E4" i="8"/>
  <c r="A1" i="6" a="1"/>
  <c r="A1" i="6" s="1"/>
  <c r="A52" i="6" s="1" a="1"/>
  <c r="A52" i="6" s="1"/>
  <c r="D34" i="5"/>
  <c r="D36" i="5"/>
  <c r="D43" i="5"/>
  <c r="D44" i="5"/>
  <c r="D35" i="5"/>
  <c r="D38" i="5"/>
  <c r="D46" i="5"/>
  <c r="D37" i="5"/>
  <c r="D39" i="5"/>
  <c r="D40" i="5"/>
  <c r="D41" i="5"/>
  <c r="D42" i="5"/>
  <c r="D45" i="5"/>
  <c r="D33" i="5"/>
  <c r="O6" i="10" l="1"/>
  <c r="V3" i="10" s="1"/>
  <c r="O4" i="10"/>
  <c r="R4" i="10" s="1"/>
  <c r="O5" i="10"/>
  <c r="V5" i="10" s="1"/>
  <c r="O3" i="10"/>
  <c r="R2" i="10" s="1"/>
  <c r="I5" i="13"/>
  <c r="I6" i="13"/>
  <c r="I7" i="13"/>
  <c r="D6" i="13"/>
  <c r="D5" i="13"/>
  <c r="F5" i="13" s="1"/>
  <c r="K5" i="13" s="1"/>
  <c r="D7" i="13"/>
  <c r="F7" i="13" s="1"/>
  <c r="K7" i="13" s="1"/>
  <c r="D4" i="13"/>
  <c r="F4" i="13" s="1"/>
  <c r="K4" i="13" s="1"/>
  <c r="A1" i="12" a="1"/>
  <c r="A1" i="12" s="1"/>
  <c r="A52" i="12" s="1" a="1"/>
  <c r="A52" i="12" s="1"/>
  <c r="V18" i="11" l="1"/>
  <c r="P18" i="8"/>
  <c r="Q19" i="8"/>
  <c r="W19" i="11"/>
  <c r="P18" i="11"/>
  <c r="L18" i="8"/>
  <c r="Q19" i="11"/>
  <c r="M19" i="8"/>
  <c r="F6" i="13"/>
  <c r="K6" i="13" s="1"/>
  <c r="D47" i="11" l="1"/>
  <c r="D39" i="11"/>
  <c r="D36" i="11"/>
  <c r="D41" i="11"/>
  <c r="D43" i="11"/>
  <c r="D35" i="11"/>
  <c r="C52" i="12" a="1"/>
  <c r="C52" i="12" s="1"/>
  <c r="D40" i="11"/>
  <c r="D32" i="11"/>
  <c r="D44" i="11"/>
  <c r="D45" i="11"/>
  <c r="D37" i="11"/>
  <c r="D33" i="11"/>
  <c r="D42" i="11"/>
  <c r="D34" i="11"/>
  <c r="D38" i="11"/>
  <c r="D46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<sst xmlns="http://schemas.openxmlformats.org/spreadsheetml/2006/main" count="1789" uniqueCount="246">
  <si>
    <t>Elite:</t>
  </si>
  <si>
    <t>Grupp A</t>
  </si>
  <si>
    <t>Grupp B</t>
  </si>
  <si>
    <t>E1</t>
  </si>
  <si>
    <t>Aabenraa</t>
  </si>
  <si>
    <t>IFAH 1</t>
  </si>
  <si>
    <t>BHV Lions</t>
  </si>
  <si>
    <t>E2</t>
  </si>
  <si>
    <t>Gårslev </t>
  </si>
  <si>
    <t>BHV Tigers</t>
  </si>
  <si>
    <t>FIFH Malmö 1</t>
  </si>
  <si>
    <t>Lag</t>
  </si>
  <si>
    <t>Resting</t>
  </si>
  <si>
    <t>E3</t>
  </si>
  <si>
    <t>BHV Lions </t>
  </si>
  <si>
    <t>Arendal </t>
  </si>
  <si>
    <t>Boston</t>
  </si>
  <si>
    <t>Omg1</t>
  </si>
  <si>
    <t>Alberta 2</t>
  </si>
  <si>
    <t>E4</t>
  </si>
  <si>
    <t>KF Heros 1</t>
  </si>
  <si>
    <t>Ontario </t>
  </si>
  <si>
    <t>Omg2</t>
  </si>
  <si>
    <t>IFAH 3</t>
  </si>
  <si>
    <t>E5</t>
  </si>
  <si>
    <t>IFAH 1</t>
  </si>
  <si>
    <t>FIFH Malmö 3 </t>
  </si>
  <si>
    <t>Omg3</t>
  </si>
  <si>
    <t>Ontario</t>
  </si>
  <si>
    <t>E6</t>
  </si>
  <si>
    <t>Omg4</t>
  </si>
  <si>
    <t>FIFH Malmö 3</t>
  </si>
  <si>
    <t>E7</t>
  </si>
  <si>
    <t>Omg5</t>
  </si>
  <si>
    <t>E8</t>
  </si>
  <si>
    <t>Major:</t>
  </si>
  <si>
    <t>M1</t>
  </si>
  <si>
    <t>Aabenraa 2 </t>
  </si>
  <si>
    <t>Gårslev 2 </t>
  </si>
  <si>
    <t>M2</t>
  </si>
  <si>
    <t>IFAH 2</t>
  </si>
  <si>
    <t>FIFH Malmö 2 </t>
  </si>
  <si>
    <t>M3</t>
  </si>
  <si>
    <t>Umeå Wolfs</t>
  </si>
  <si>
    <t>Lilleström </t>
  </si>
  <si>
    <t>Eskilstuna Tanks </t>
  </si>
  <si>
    <t>M4</t>
  </si>
  <si>
    <t>Norrköping Rhinos </t>
  </si>
  <si>
    <t>M5</t>
  </si>
  <si>
    <t>M6</t>
  </si>
  <si>
    <t>M7</t>
  </si>
  <si>
    <t>M8</t>
  </si>
  <si>
    <t>Division 1:</t>
  </si>
  <si>
    <t>D1</t>
  </si>
  <si>
    <t>KF Heros 2 </t>
  </si>
  <si>
    <t>D2</t>
  </si>
  <si>
    <t>Eskilstuna Tanks 2 </t>
  </si>
  <si>
    <t>D3</t>
  </si>
  <si>
    <t>Boston 2</t>
  </si>
  <si>
    <t>D4</t>
  </si>
  <si>
    <t>Alberta 1</t>
  </si>
  <si>
    <t>D5</t>
  </si>
  <si>
    <t>D6</t>
  </si>
  <si>
    <t>Alberta 1</t>
  </si>
  <si>
    <t>D7</t>
  </si>
  <si>
    <t>D8</t>
  </si>
  <si>
    <t>D9</t>
  </si>
  <si>
    <t>Elite</t>
  </si>
  <si>
    <t>QF 1</t>
  </si>
  <si>
    <t>GA 1</t>
  </si>
  <si>
    <t>GB 4</t>
  </si>
  <si>
    <t>SF 1</t>
  </si>
  <si>
    <t>W QF 1</t>
  </si>
  <si>
    <t>W QF 3</t>
  </si>
  <si>
    <t>Final</t>
  </si>
  <si>
    <t>W SF 1</t>
  </si>
  <si>
    <t>W SF 2</t>
  </si>
  <si>
    <t>Omgång 1</t>
  </si>
  <si>
    <t>KF Heros 1</t>
  </si>
  <si>
    <t>QF 2</t>
  </si>
  <si>
    <t>GB 1</t>
  </si>
  <si>
    <t>GA 4</t>
  </si>
  <si>
    <t>SF 2</t>
  </si>
  <si>
    <t>W QF 2</t>
  </si>
  <si>
    <t>W QF 4</t>
  </si>
  <si>
    <t>Bronze</t>
  </si>
  <si>
    <t>L SF 1</t>
  </si>
  <si>
    <t>L SF 2</t>
  </si>
  <si>
    <t>Omgång 2</t>
  </si>
  <si>
    <t>GA 2</t>
  </si>
  <si>
    <t>QF 3</t>
  </si>
  <si>
    <t>GB 3</t>
  </si>
  <si>
    <t>Omgång 3</t>
  </si>
  <si>
    <t>GA 3</t>
  </si>
  <si>
    <t>QF 4</t>
  </si>
  <si>
    <t>GB 2</t>
  </si>
  <si>
    <t>Placement</t>
  </si>
  <si>
    <t>PQ 1</t>
  </si>
  <si>
    <t>L QF 1</t>
  </si>
  <si>
    <t>L QF 3</t>
  </si>
  <si>
    <t>PL 5-6</t>
  </si>
  <si>
    <t>W PQ 1</t>
  </si>
  <si>
    <t>W PQ 2</t>
  </si>
  <si>
    <t>PQ 2</t>
  </si>
  <si>
    <t>L QF 2</t>
  </si>
  <si>
    <t>L QF 4</t>
  </si>
  <si>
    <t>PL 7-8</t>
  </si>
  <si>
    <t>L PQ 1</t>
  </si>
  <si>
    <t>L PQ 2</t>
  </si>
  <si>
    <t>Major</t>
  </si>
  <si>
    <t>Div 1</t>
  </si>
  <si>
    <t>DIV 1</t>
  </si>
  <si>
    <t>GB2</t>
  </si>
  <si>
    <t xml:space="preserve">GB2 </t>
  </si>
  <si>
    <t>Omgång 4</t>
  </si>
  <si>
    <t>Omgång 5</t>
  </si>
  <si>
    <t>GA 5</t>
  </si>
  <si>
    <t>DIV 2</t>
  </si>
  <si>
    <t>Omg 1</t>
  </si>
  <si>
    <t>GB 5</t>
  </si>
  <si>
    <t>Omg 2</t>
  </si>
  <si>
    <t>Omg 3</t>
  </si>
  <si>
    <t>Sat:</t>
  </si>
  <si>
    <t>Alfa Main</t>
  </si>
  <si>
    <t>Humana</t>
  </si>
  <si>
    <t>Scandic</t>
  </si>
  <si>
    <t>Wallners</t>
  </si>
  <si>
    <t>Opening Ceremony</t>
  </si>
  <si>
    <t>DIV 1 GRUOP A</t>
  </si>
  <si>
    <t>ELITE GROUP B</t>
  </si>
  <si>
    <t>ELITE GROUP A</t>
  </si>
  <si>
    <t>MAJOR GROUP B</t>
  </si>
  <si>
    <t>DIV 1 GRUOP B</t>
  </si>
  <si>
    <t>MAJOR GROUP A</t>
  </si>
  <si>
    <t>Norrköping Rhinos</t>
  </si>
  <si>
    <t>LUNCH</t>
  </si>
  <si>
    <t>DINNER</t>
  </si>
  <si>
    <t>Sun</t>
  </si>
  <si>
    <t>DIV 2 SF 1</t>
  </si>
  <si>
    <t>DIV 2 SF 2</t>
  </si>
  <si>
    <t>ELITE QF 3</t>
  </si>
  <si>
    <t>ELITE QF 4</t>
  </si>
  <si>
    <t>MAJOR QF 1</t>
  </si>
  <si>
    <t>MAJOR QF 2</t>
  </si>
  <si>
    <t>DIV 1 SF 1</t>
  </si>
  <si>
    <t>DIV 1 SF 2</t>
  </si>
  <si>
    <t>ELITE QF 1</t>
  </si>
  <si>
    <t>DIV 2 BRONZE 1</t>
  </si>
  <si>
    <t>MAJOR QF 3</t>
  </si>
  <si>
    <t>MAJOR QF 4</t>
  </si>
  <si>
    <t>DIV 1 BRONZE</t>
  </si>
  <si>
    <t>ELITE QF 2</t>
  </si>
  <si>
    <t>DIV 2 BRONZE 2</t>
  </si>
  <si>
    <t>ELITE PQ 1</t>
  </si>
  <si>
    <t>MAJOR PQ 1</t>
  </si>
  <si>
    <t>MAJOR SF 2</t>
  </si>
  <si>
    <t>ELITE PQ 2</t>
  </si>
  <si>
    <t>ELITE SF 1</t>
  </si>
  <si>
    <t>ELITE SF 2</t>
  </si>
  <si>
    <t>DIV 2 BRONZE 3</t>
  </si>
  <si>
    <t>DIV 1 FINAL</t>
  </si>
  <si>
    <t>DIV 2 FINAL</t>
  </si>
  <si>
    <t>ELITE 7-8</t>
  </si>
  <si>
    <t>ELITE 5-6</t>
  </si>
  <si>
    <t>MAJOR FINAL</t>
  </si>
  <si>
    <t>MAJOR BRONZE</t>
  </si>
  <si>
    <t>MAJOR 5-6</t>
  </si>
  <si>
    <t>MAJOR 7-8</t>
  </si>
  <si>
    <t>ELITE FINAL</t>
  </si>
  <si>
    <t>ELITE BRONZE</t>
  </si>
  <si>
    <t>Domare 1</t>
  </si>
  <si>
    <t>Domare 2</t>
  </si>
  <si>
    <t>Espen Hoff</t>
  </si>
  <si>
    <t>Magnus Undén</t>
  </si>
  <si>
    <t>Mats Fernlund</t>
  </si>
  <si>
    <t>Reine Schröder</t>
  </si>
  <si>
    <t>Kristoffer Stormark</t>
  </si>
  <si>
    <t>Jörgen Johannsen</t>
  </si>
  <si>
    <t>Håkan Elveljung</t>
  </si>
  <si>
    <t>Jonas Örevik</t>
  </si>
  <si>
    <t>Andreas Sjöberg</t>
  </si>
  <si>
    <t>Inge Haukom</t>
  </si>
  <si>
    <t>Oliver Parment</t>
  </si>
  <si>
    <t>Elias Parment</t>
  </si>
  <si>
    <t>Jim A.Nymoen</t>
  </si>
  <si>
    <t>Håkan Norberg</t>
  </si>
  <si>
    <t>Thomas Karlsson</t>
  </si>
  <si>
    <t>EMPTY</t>
  </si>
  <si>
    <t>SJUK (RM)</t>
  </si>
  <si>
    <t>KF Heros 2</t>
  </si>
  <si>
    <t>Eskilstuna Tanks</t>
  </si>
  <si>
    <t>Boston 1</t>
  </si>
  <si>
    <t>Goals</t>
  </si>
  <si>
    <t>Elite Group A</t>
  </si>
  <si>
    <t>Winner</t>
  </si>
  <si>
    <t>Loser</t>
  </si>
  <si>
    <t>Team</t>
  </si>
  <si>
    <t>GP</t>
  </si>
  <si>
    <t>W</t>
  </si>
  <si>
    <t>L</t>
  </si>
  <si>
    <t>E</t>
  </si>
  <si>
    <t>SG</t>
  </si>
  <si>
    <t>CG</t>
  </si>
  <si>
    <t>GD</t>
  </si>
  <si>
    <t>No. Of P</t>
  </si>
  <si>
    <t>P</t>
  </si>
  <si>
    <t>Elite Group B</t>
  </si>
  <si>
    <t>Major Group A</t>
  </si>
  <si>
    <t>Major Group B</t>
  </si>
  <si>
    <t>Division 1 Group A</t>
  </si>
  <si>
    <t>Division 1 Group B</t>
  </si>
  <si>
    <t>Looser</t>
  </si>
  <si>
    <t>-</t>
  </si>
  <si>
    <t xml:space="preserve"> </t>
  </si>
  <si>
    <t>Division/Game</t>
  </si>
  <si>
    <t>Div 1 SF 2</t>
  </si>
  <si>
    <t>Div 1 SF 1</t>
  </si>
  <si>
    <t>Major QF 3</t>
  </si>
  <si>
    <t>Major QF 1</t>
  </si>
  <si>
    <t>Div 2 SF 2</t>
  </si>
  <si>
    <t>Div 2 SF 1</t>
  </si>
  <si>
    <t>Major QF 4</t>
  </si>
  <si>
    <t>Major QF 2</t>
  </si>
  <si>
    <t>Major PQ 1</t>
  </si>
  <si>
    <t>Major SF 1</t>
  </si>
  <si>
    <t>Elite QF 3</t>
  </si>
  <si>
    <t>Elite QF 1</t>
  </si>
  <si>
    <t>Major PQ 2</t>
  </si>
  <si>
    <t>Major SF 2</t>
  </si>
  <si>
    <t>Elite QF 2</t>
  </si>
  <si>
    <t>Elite QF 4</t>
  </si>
  <si>
    <t>Elite PQ 1</t>
  </si>
  <si>
    <t>Elite SF 1</t>
  </si>
  <si>
    <t>Elite PQ 2</t>
  </si>
  <si>
    <t>Div 1 Bronze</t>
  </si>
  <si>
    <t>Div 2 Bronze</t>
  </si>
  <si>
    <t>Major PL 5-6</t>
  </si>
  <si>
    <t>Major PL 7-8</t>
  </si>
  <si>
    <t>Div 1 Final</t>
  </si>
  <si>
    <t>Div 2 Final</t>
  </si>
  <si>
    <t>Elite PL 5-6</t>
  </si>
  <si>
    <t>Elite PL 7-8</t>
  </si>
  <si>
    <t>Major Final</t>
  </si>
  <si>
    <t>Elite Bronze</t>
  </si>
  <si>
    <t>Elite Final</t>
  </si>
  <si>
    <t>Major 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</si>
</sst>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20" fontId="2" fillId="0" borderId="0" xfId="0" applyNumberFormat="1" applyFont="1"/>
    <xf numFmtId="0" fontId="0" fillId="0" borderId="0" xfId="0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" fontId="1" fillId="0" borderId="0" xfId="0" applyNumberFormat="1" applyFont="1"/>
    <xf numFmtId="0" fontId="1" fillId="2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12" borderId="0" xfId="1"/>
    <xf numFmtId="0" fontId="4" fillId="0" borderId="0" xfId="0" applyFont="1" applyAlignment="1">
      <alignment horizontal="center"/>
    </xf>
    <xf numFmtId="0" fontId="0" fillId="0" borderId="3" xfId="0" applyBorder="1"/>
    <xf numFmtId="0" fontId="6" fillId="13" borderId="0" xfId="2"/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7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D9CBE2-5894-4792-965E-E2E77B37D85E}" name="Elite_A" displayName="Elite_A" ref="B3:K7" totalsRowShown="0">
  <autoFilter ref="B3:K7" xr:uid="{C0D9CBE2-5894-4792-965E-E2E77B37D85E}"/>
  <tableColumns count="10">
    <tableColumn id="1" xr3:uid="{BE9690DF-A551-4353-B236-0E7EF648A89F}" name="Team" dataDxfId="8">
      <calculatedColumnFormula>'Teams +Groups'!H2</calculatedColumnFormula>
    </tableColumn>
    <tableColumn id="2" xr3:uid="{837B670B-D78C-4D0B-A8A0-47981AFF120A}" name="GP" dataDxfId="7">
      <calculatedColumnFormula array="1">SUM(($S$3:$S$8=Elite_A[[#This Row],[Team]])*(ISNUMBER($T$3:$T$8)),($W$3:$W$8=Elite_A[[#This Row],[Team]])*(ISNUMBER($V$3:$V$8)))</calculatedColumnFormula>
    </tableColumn>
    <tableColumn id="3" xr3:uid="{0243E0AD-500A-4D7F-9E59-47D726464FEF}" name="W" dataDxfId="6">
      <calculatedColumnFormula>COUNTIF($Y$3:$Y$8,Elite_A[[#This Row],[Team]])</calculatedColumnFormula>
    </tableColumn>
    <tableColumn id="4" xr3:uid="{3D7ED23F-7229-4AD2-8285-888A231F01B9}" name="L" dataDxfId="5">
      <calculatedColumnFormula>COUNTIF($Z$3:$Z$8,Elite_A[[#This Row],[Team]])</calculatedColumnFormula>
    </tableColumn>
    <tableColumn id="5" xr3:uid="{55AE6E10-BD42-41BC-BA41-0F5FC77D985A}" name="E" dataDxfId="4">
      <calculatedColumnFormula>Elite_A[[#This Row],[GP]]-Elite_A[[#This Row],[W]]-Elite_A[[#This Row],[L]]</calculatedColumnFormula>
    </tableColumn>
    <tableColumn id="6" xr3:uid="{A882E35A-788E-47A8-A49B-D32A3581FEE4}" name="SG" dataDxfId="3">
      <calculatedColumnFormula>SUMIF($S$3:$S$8,Elite_A[[#This Row],[Team]],$T$3:$T$8) + SUMIF($W$3:$W$8,Elite_A[[#This Row],[Team]],$V$3:$V$8)</calculatedColumnFormula>
    </tableColumn>
    <tableColumn id="7" xr3:uid="{09696629-173E-400F-84F0-40B9B6869B6B}" name="CG" dataDxfId="2">
      <calculatedColumnFormula>SUMIF($S$3:$S$8,Elite_A[[#This Row],[Team]],$V$3:$V$8) + SUMIF($W$3:$W$8,Elite_A[[#This Row],[Team]],$T$3:$T$8)</calculatedColumnFormula>
    </tableColumn>
    <tableColumn id="8" xr3:uid="{E54DBF56-AFD9-4395-AA37-6AE8D091578A}" name="GD" dataDxfId="1">
      <calculatedColumnFormula>Elite_A[[#This Row],[SG]]-Elite_A[[#This Row],[CG]]</calculatedColumnFormula>
    </tableColumn>
    <tableColumn id="9" xr3:uid="{FDAE7CBA-2464-42EC-A73F-0CEAD67DCBBA}" name="No. Of P" dataDxfId="0"/>
    <tableColumn id="10" xr3:uid="{2DA44759-F03D-4766-90B6-DE6C6DABE5FA}" name="P">
      <calculatedColumnFormula>3*Elite_A[[#This Row],[W]]+Elite_A[[#This Row],[E]]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927C99-5552-4572-80DF-3D8606DC76A8}" name="Elite_B" displayName="Elite_B" ref="B11:K15" totalsRowShown="0">
  <autoFilter ref="B11:K15" xr:uid="{30927C99-5552-4572-80DF-3D8606DC76A8}"/>
  <tableColumns count="10">
    <tableColumn id="1" xr3:uid="{FA0A5DCB-C63B-4E6B-9388-BBC412820324}" name="Team" dataDxfId="75">
      <calculatedColumnFormula>'Teams +Groups'!I2</calculatedColumnFormula>
    </tableColumn>
    <tableColumn id="2" xr3:uid="{4DD6E2D2-146F-4056-88C9-A8AB676E950D}" name="GP" dataDxfId="74">
      <calculatedColumnFormula array="1">SUM(($S$11:$S$16=Elite_B[[#This Row],[Team]])*(ISNUMBER($T$11:$T$16)),($W$11:$W$16=Elite_B[[#This Row],[Team]])*(ISNUMBER($V$11:$V$16)))</calculatedColumnFormula>
    </tableColumn>
    <tableColumn id="3" xr3:uid="{F9E0601F-894C-46BA-A0EF-7FA3A7AF06D6}" name="W" dataDxfId="73">
      <calculatedColumnFormula>COUNTIF($Y$11:$Y$16,Elite_B[[#This Row],[Team]])</calculatedColumnFormula>
    </tableColumn>
    <tableColumn id="4" xr3:uid="{4361F5B2-F99D-4075-8FF9-71ABB6FF04A4}" name="L" dataDxfId="72">
      <calculatedColumnFormula>COUNTIF($Z$11:$Z$16,Elite_B[[#This Row],[Team]])</calculatedColumnFormula>
    </tableColumn>
    <tableColumn id="5" xr3:uid="{2C81C7DE-0893-4C86-8B63-5FFF8B46DD26}" name="E" dataDxfId="71">
      <calculatedColumnFormula>Elite_B[[#This Row],[GP]]-Elite_B[[#This Row],[W]]-Elite_B[[#This Row],[L]]</calculatedColumnFormula>
    </tableColumn>
    <tableColumn id="6" xr3:uid="{8094D394-8820-4937-A84B-E4D7F853CB13}" name="SG" dataDxfId="70">
      <calculatedColumnFormula>SUMIF($S$11:$S$16,Elite_B[[#This Row],[Team]],$T$11:$T$16) + SUMIF($W$11:$W$16,Elite_B[[#This Row],[Team]],$V$11:$V$16)</calculatedColumnFormula>
    </tableColumn>
    <tableColumn id="7" xr3:uid="{AA1B1D69-93C3-47F0-8525-FF7B80AD85B1}" name="CG" dataDxfId="69">
      <calculatedColumnFormula>SUMIF($S$11:$S$16,Elite_B[[#This Row],[Team]],$V$11:$V$16) + SUMIF($W$11:$W$16,Elite_B[[#This Row],[Team]],$T$11:$T$16)</calculatedColumnFormula>
    </tableColumn>
    <tableColumn id="8" xr3:uid="{80A2AF96-3E80-42F9-A926-68FFBD643349}" name="GD" dataDxfId="68">
      <calculatedColumnFormula>Elite_B[[#This Row],[SG]]-Elite_B[[#This Row],[CG]]</calculatedColumnFormula>
    </tableColumn>
    <tableColumn id="9" xr3:uid="{46FDA8F2-A896-4510-8227-8901D07B57D0}" name="No. Of P" dataDxfId="67"/>
    <tableColumn id="10" xr3:uid="{9F147E2B-F4D8-44C0-82EC-9ADBED76ECC6}" name="P" dataDxfId="66">
      <calculatedColumnFormula>3*Elite_B[[#This Row],[W]]+Elite_B[[#This Row],[E]]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487824-594D-4225-9DC2-20844346B7DA}" name="Major_A" displayName="Major_A" ref="B19:K23" totalsRowShown="0">
  <autoFilter ref="B19:K23" xr:uid="{4D487824-594D-4225-9DC2-20844346B7DA}"/>
  <tableColumns count="10">
    <tableColumn id="1" xr3:uid="{DBC6CCCA-FF35-4621-9C43-AB7B7D06EE45}" name="Team">
      <calculatedColumnFormula>'Teams +Groups'!H12</calculatedColumnFormula>
    </tableColumn>
    <tableColumn id="2" xr3:uid="{0E3E4232-617F-4C92-8A74-7B1822CA66C5}" name="GP" dataDxfId="65">
      <calculatedColumnFormula array="1">SUM(($S$19:$S$24=Major_A[[#This Row],[Team]])*(ISNUMBER($T$19:$T$24)),($W$19:$W$24=Major_A[[#This Row],[Team]])*(ISNUMBER($V$19:$V$24)))</calculatedColumnFormula>
    </tableColumn>
    <tableColumn id="3" xr3:uid="{5EBD941E-D624-441F-9415-E8347C0FD56E}" name="W" dataDxfId="64">
      <calculatedColumnFormula>COUNTIF($Y$19:$Y$24,Major_A[[#This Row],[Team]])</calculatedColumnFormula>
    </tableColumn>
    <tableColumn id="4" xr3:uid="{2BCCD14D-7CCE-40F4-9F6F-5E4AFE24F47E}" name="L" dataDxfId="63">
      <calculatedColumnFormula>COUNTIF($Z$19:$Z$24,Major_A[[#This Row],[Team]])</calculatedColumnFormula>
    </tableColumn>
    <tableColumn id="5" xr3:uid="{518ED283-AC2B-4E49-9EAC-6F6E278C06C5}" name="E" dataDxfId="62">
      <calculatedColumnFormula>Major_A[[#This Row],[GP]]-Major_A[[#This Row],[W]]-Major_A[[#This Row],[L]]</calculatedColumnFormula>
    </tableColumn>
    <tableColumn id="6" xr3:uid="{9F776019-A05F-4FD4-8865-805E50BB642A}" name="SG" dataDxfId="61">
      <calculatedColumnFormula>SUMIF($S$19:$S$24,Major_A[[#This Row],[Team]],$T$19:$T$24) + SUMIF($W$19:$W$24,Major_A[[#This Row],[Team]],$V$19:$V$24)</calculatedColumnFormula>
    </tableColumn>
    <tableColumn id="7" xr3:uid="{3EC72A07-05B3-4E0C-8AF8-E18B9A444AEA}" name="CG" dataDxfId="60">
      <calculatedColumnFormula>SUMIF($S$19:$S$24,Major_A[[#This Row],[Team]],$V$19:$V$24) + SUMIF($W$19:$W$24,Major_A[[#This Row],[Team]],$T$19:$T$24)</calculatedColumnFormula>
    </tableColumn>
    <tableColumn id="8" xr3:uid="{2CA79137-373D-4C99-9FD9-CAEC29B141B0}" name="GD" dataDxfId="59">
      <calculatedColumnFormula>Major_A[[#This Row],[SG]]-Major_A[[#This Row],[CG]]</calculatedColumnFormula>
    </tableColumn>
    <tableColumn id="9" xr3:uid="{9E8BFF1D-076F-4BCB-9747-4BFD33F542BE}" name="No. Of P" dataDxfId="58"/>
    <tableColumn id="10" xr3:uid="{07B461BA-22E5-4B8D-A7EB-7E04EDF3AB7A}" name="P" dataDxfId="57">
      <calculatedColumnFormula>3*Major_A[[#This Row],[W]]+Major_A[[#This Row],[E]]</calculatedColumnFormula>
    </tableColumn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0286BA-4F75-446C-BD26-A33DD071A8E8}" name="Major_B" displayName="Major_B" ref="B27:K31" totalsRowShown="0">
  <autoFilter ref="B27:K31" xr:uid="{860286BA-4F75-446C-BD26-A33DD071A8E8}"/>
  <tableColumns count="10">
    <tableColumn id="1" xr3:uid="{4DBA2CC5-4FD1-49EF-8DAB-B299DB22F440}" name="Team" dataDxfId="56">
      <calculatedColumnFormula>'Teams +Groups'!I12</calculatedColumnFormula>
    </tableColumn>
    <tableColumn id="2" xr3:uid="{B5954C98-FC41-47D7-9545-B65320A4D2AA}" name="GP" dataDxfId="55">
      <calculatedColumnFormula array="1">SUM(($S$27:$S$32=Major_B[[#This Row],[Team]])*(ISNUMBER($T$27:$T$32)),($W$27:$W$32=Major_B[[#This Row],[Team]])*(ISNUMBER($V$27:$V$32)))</calculatedColumnFormula>
    </tableColumn>
    <tableColumn id="3" xr3:uid="{C949A15E-6AA2-420F-91AA-B67B30C639AE}" name="W" dataDxfId="54">
      <calculatedColumnFormula>COUNTIF($Y$27:$Y$32,Major_B[[#This Row],[Team]])</calculatedColumnFormula>
    </tableColumn>
    <tableColumn id="4" xr3:uid="{F40C0779-4212-4E39-9FD2-A51950929591}" name="L" dataDxfId="53">
      <calculatedColumnFormula>COUNTIF($Z$27:$Z$32,Major_B[[#This Row],[Team]])</calculatedColumnFormula>
    </tableColumn>
    <tableColumn id="5" xr3:uid="{75890643-1F84-42EE-907C-201F32955B08}" name="E" dataDxfId="52">
      <calculatedColumnFormula>Major_B[[#This Row],[GP]]-Major_B[[#This Row],[W]]-Major_B[[#This Row],[L]]</calculatedColumnFormula>
    </tableColumn>
    <tableColumn id="6" xr3:uid="{7EE19B10-695B-4D13-8B90-A53BCB37E08F}" name="SG" dataDxfId="51">
      <calculatedColumnFormula>SUMIF($S$27:$S$32,Major_B[[#This Row],[Team]],$T$27:$T$32) + SUMIF($W$27:$W$32,Major_B[[#This Row],[Team]],$V$27:$V$32)</calculatedColumnFormula>
    </tableColumn>
    <tableColumn id="7" xr3:uid="{8A1168E6-1CDB-410B-93B0-4465CDEEC4F3}" name="CG" dataDxfId="50">
      <calculatedColumnFormula>SUMIF($S$27:$S$32,Major_B[[#This Row],[Team]],$V$27:$V$32) + SUMIF($W$27:$W$32,Major_B[[#This Row],[Team]],$T$27:$T$32)</calculatedColumnFormula>
    </tableColumn>
    <tableColumn id="8" xr3:uid="{8619A35D-20A9-4FCB-945F-951B3F9ED23E}" name="GD" dataDxfId="49">
      <calculatedColumnFormula>Major_B[[#This Row],[SG]]-Major_B[[#This Row],[CG]]</calculatedColumnFormula>
    </tableColumn>
    <tableColumn id="9" xr3:uid="{D02140C9-C281-4B58-AFDC-64D05012C84F}" name="No. Of P" dataDxfId="48"/>
    <tableColumn id="10" xr3:uid="{298BE8B5-4F35-4403-AB23-F6605A7D5F72}" name="P" dataDxfId="47">
      <calculatedColumnFormula>3*Major_B[[#This Row],[W]]+Major_B[[#This Row],[E]]</calculatedColumnFormula>
    </tableColumn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8BC070-C9FC-4D75-92D8-CF8FC73D87C1}" name="Div_1_A" displayName="Div_1_A" ref="B35:K39" totalsRowShown="0">
  <autoFilter ref="B35:K39" xr:uid="{FE8BC070-C9FC-4D75-92D8-CF8FC73D87C1}"/>
  <tableColumns count="10">
    <tableColumn id="1" xr3:uid="{AA370918-BFD9-4394-86ED-F68E9A9B19B1}" name="Team" dataDxfId="46">
      <calculatedColumnFormula>'Teams +Groups'!H22</calculatedColumnFormula>
    </tableColumn>
    <tableColumn id="2" xr3:uid="{80F1D03F-5C9F-42EE-98E6-5C0FA33B108B}" name="GP" dataDxfId="45">
      <calculatedColumnFormula array="1">SUM(($S$35:$S$40=Div_1_A[[#This Row],[Team]])*(ISNUMBER($T$35:$T$40)),($W$35:$W$40=Div_1_A[[#This Row],[Team]])*(ISNUMBER($V$35:$V$40)))</calculatedColumnFormula>
    </tableColumn>
    <tableColumn id="3" xr3:uid="{CBEBE711-B05C-4DD4-B824-83A2301CC2E8}" name="W" dataDxfId="44">
      <calculatedColumnFormula>COUNTIF($Y$35:$Y$40,Div_1_A[[#This Row],[Team]])</calculatedColumnFormula>
    </tableColumn>
    <tableColumn id="4" xr3:uid="{CF70A957-C14C-4027-96FC-7BAEF6CE5625}" name="L" dataDxfId="43">
      <calculatedColumnFormula>COUNTIF($Z$35:$Z$40,Div_1_A[[#This Row],[Team]])</calculatedColumnFormula>
    </tableColumn>
    <tableColumn id="5" xr3:uid="{74E58432-EE62-4F6C-8E28-01D45C999BE3}" name="E" dataDxfId="42">
      <calculatedColumnFormula>Div_1_A[[#This Row],[GP]]-Div_1_A[[#This Row],[W]]-Div_1_A[[#This Row],[L]]</calculatedColumnFormula>
    </tableColumn>
    <tableColumn id="6" xr3:uid="{142BC3A2-8A22-48E8-BC6A-1E289F784C65}" name="SG" dataDxfId="41">
      <calculatedColumnFormula>SUMIF($S$35:$S$40,Div_1_A[[#This Row],[Team]],$T$35:$T$40) + SUMIF($W$35:$W$40,Div_1_A[[#This Row],[Team]],$V$35:$V$40)</calculatedColumnFormula>
    </tableColumn>
    <tableColumn id="7" xr3:uid="{D5C730DB-33B8-4AD4-8AD1-9CDE572B023F}" name="CG" dataDxfId="40">
      <calculatedColumnFormula>SUMIF($S$35:$S$40,Div_1_A[[#This Row],[Team]],$V$35:$V$40) + SUMIF($W$35:$W$40,Div_1_A[[#This Row],[Team]],$T$35:$T$40)</calculatedColumnFormula>
    </tableColumn>
    <tableColumn id="8" xr3:uid="{7331E35D-AB94-4CE0-8E3E-4FA9BE3493C5}" name="GD" dataDxfId="39">
      <calculatedColumnFormula>Div_1_A[[#This Row],[SG]]-Div_1_A[[#This Row],[CG]]</calculatedColumnFormula>
    </tableColumn>
    <tableColumn id="9" xr3:uid="{211665CF-5795-4CD6-B0FF-2195AEB1271E}" name="No. Of P" dataDxfId="38"/>
    <tableColumn id="10" xr3:uid="{73C6C376-E0CD-42A6-8AEB-A2905091CA76}" name="P" dataDxfId="37">
      <calculatedColumnFormula>3*Div_1_A[[#This Row],[W]]+Div_1_A[[#This Row],[E]]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5192A62-0537-4E59-9DB2-6F524F764FDF}" name="Div_1_B" displayName="Div_1_B" ref="B43:K47" totalsRowShown="0">
  <autoFilter ref="B43:K47" xr:uid="{75192A62-0537-4E59-9DB2-6F524F764FDF}"/>
  <tableColumns count="10">
    <tableColumn id="1" xr3:uid="{82745C5D-0350-45ED-83BB-56902D047514}" name="Team" dataDxfId="36">
      <calculatedColumnFormula>'Teams +Groups'!I22</calculatedColumnFormula>
    </tableColumn>
    <tableColumn id="2" xr3:uid="{78531FBE-F8B1-4045-A0B5-7605688AB519}" name="GP" dataDxfId="35">
      <calculatedColumnFormula array="1">SUM(($S$43:$S$48=Div_1_B[[#This Row],[Team]])*(ISNUMBER($T$43:$T$48)),($W$43:$W$48=Div_1_B[[#This Row],[Team]])*(ISNUMBER($V$43:$V$48)))</calculatedColumnFormula>
    </tableColumn>
    <tableColumn id="3" xr3:uid="{469D80B8-EB5A-4817-A7E1-4A9CCB1617BB}" name="W" dataDxfId="34">
      <calculatedColumnFormula>COUNTIF($Y$43:$Y$48,Div_1_B[[#This Row],[Team]])</calculatedColumnFormula>
    </tableColumn>
    <tableColumn id="4" xr3:uid="{A5206173-3EDB-43C1-93C4-83C00F9BA32C}" name="L" dataDxfId="33">
      <calculatedColumnFormula>COUNTIF($Z$43:$Z$48,Div_1_B[[#This Row],[Team]])</calculatedColumnFormula>
    </tableColumn>
    <tableColumn id="5" xr3:uid="{3C502CFD-2120-45B1-B3FE-49BBD0077804}" name="E" dataDxfId="32">
      <calculatedColumnFormula>Div_1_B[[#This Row],[GP]]-Div_1_B[[#This Row],[W]]-Div_1_B[[#This Row],[L]]</calculatedColumnFormula>
    </tableColumn>
    <tableColumn id="6" xr3:uid="{1D282DED-2807-4528-8E09-60B1A651D39A}" name="SG" dataDxfId="31">
      <calculatedColumnFormula>SUMIF($S$43:$S$48,Div_1_B[[#This Row],[Team]],$T$43:$T$48) + SUMIF($W$43:$W$48,Div_1_B[[#This Row],[Team]],$V$43:$V$48)</calculatedColumnFormula>
    </tableColumn>
    <tableColumn id="7" xr3:uid="{93FC8381-D1D7-4210-85E0-962BC7BDD735}" name="CG" dataDxfId="30">
      <calculatedColumnFormula>SUMIF($S$43:$S$48,Div_1_B[[#This Row],[Team]],$V$43:$V$48) + SUMIF($W$43:$W$48,Div_1_B[[#This Row],[Team]],$T$43:$T$48)</calculatedColumnFormula>
    </tableColumn>
    <tableColumn id="8" xr3:uid="{44211E42-1A00-4A00-A02D-AA80C43AA046}" name="GD" dataDxfId="29">
      <calculatedColumnFormula>Div_1_B[[#This Row],[SG]]-Div_1_B[[#This Row],[CG]]</calculatedColumnFormula>
    </tableColumn>
    <tableColumn id="9" xr3:uid="{D9EFC702-418C-4453-8A11-711BCF907B73}" name="No. Of P" dataDxfId="28"/>
    <tableColumn id="10" xr3:uid="{B3A507C3-8FF8-407A-B9E5-ADC1D24C02EF}" name="P" dataDxfId="27">
      <calculatedColumnFormula>3*Div_1_B[[#This Row],[W]]+Div_1_B[[#This Row],[E]]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zoomScale="115" zoomScaleNormal="115" workbookViewId="0">
      <selection activeCell="B18" sqref="B18"/>
    </sheetView>
  </sheetViews>
  <sheetFormatPr defaultRowHeight="14.4" x14ac:dyDescent="0.3"/>
  <cols>
    <col min="2" max="2" width="18.109375" bestFit="1" customWidth="1"/>
    <col min="4" max="4" width="18.109375" bestFit="1" customWidth="1"/>
    <col min="5" max="5" width="17.5546875" bestFit="1" customWidth="1"/>
    <col min="8" max="8" width="17.88671875" bestFit="1" customWidth="1"/>
    <col min="9" max="9" width="21.5546875" bestFit="1" customWidth="1"/>
    <col min="10" max="13" width="12.88671875" bestFit="1" customWidth="1"/>
    <col min="14" max="14" width="13.44140625" bestFit="1" customWidth="1"/>
    <col min="16" max="17" width="13.44140625" bestFit="1" customWidth="1"/>
  </cols>
  <sheetData>
    <row r="1" spans="1:19" ht="15.6" x14ac:dyDescent="0.3">
      <c r="B1" s="1" t="s">
        <v>0</v>
      </c>
      <c r="D1" s="2" t="s">
        <v>1</v>
      </c>
      <c r="E1" s="2" t="s">
        <v>2</v>
      </c>
    </row>
    <row r="2" spans="1:19" x14ac:dyDescent="0.3">
      <c r="A2" t="s">
        <v>3</v>
      </c>
      <c r="B2" t="s">
        <v>4</v>
      </c>
      <c r="D2" t="s">
        <v>5</v>
      </c>
      <c r="E2" t="s">
        <v>6</v>
      </c>
    </row>
    <row r="3" spans="1:19" x14ac:dyDescent="0.3">
      <c r="A3" t="s">
        <v>7</v>
      </c>
      <c r="B3" t="s">
        <v>8</v>
      </c>
      <c r="D3" t="s">
        <v>9</v>
      </c>
      <c r="E3" t="s">
        <v>10</v>
      </c>
      <c r="I3" t="s">
        <v>11</v>
      </c>
      <c r="S3" t="s">
        <v>12</v>
      </c>
    </row>
    <row r="4" spans="1:19" x14ac:dyDescent="0.3">
      <c r="A4" t="s">
        <v>13</v>
      </c>
      <c r="B4" t="s">
        <v>14</v>
      </c>
      <c r="D4" t="s">
        <v>4</v>
      </c>
      <c r="E4" t="s">
        <v>15</v>
      </c>
      <c r="I4" t="s">
        <v>16</v>
      </c>
      <c r="J4">
        <f>COUNTIF($M$4:$Q$8,I4)</f>
        <v>4</v>
      </c>
      <c r="L4" t="s">
        <v>17</v>
      </c>
      <c r="M4" t="str">
        <f>I4</f>
        <v>Boston</v>
      </c>
      <c r="N4" t="str">
        <f>I7</f>
        <v>IFAH 3</v>
      </c>
      <c r="P4" t="str">
        <f>I5</f>
        <v>Ontario </v>
      </c>
      <c r="Q4" t="str">
        <f>I6</f>
        <v>FIFH Malmö 3 </v>
      </c>
      <c r="S4" t="s">
        <v>18</v>
      </c>
    </row>
    <row r="5" spans="1:19" x14ac:dyDescent="0.3">
      <c r="A5" t="s">
        <v>19</v>
      </c>
      <c r="B5" t="s">
        <v>20</v>
      </c>
      <c r="D5" t="s">
        <v>20</v>
      </c>
      <c r="E5" t="s">
        <v>8</v>
      </c>
      <c r="I5" t="s">
        <v>21</v>
      </c>
      <c r="J5">
        <f t="shared" ref="J5:J8" si="0">COUNTIF($M$4:$Q$8,I5)</f>
        <v>4</v>
      </c>
      <c r="L5" t="s">
        <v>22</v>
      </c>
      <c r="M5" t="str">
        <f>I4</f>
        <v>Boston</v>
      </c>
      <c r="N5" t="str">
        <f>I5</f>
        <v>Ontario </v>
      </c>
      <c r="P5" t="str">
        <f>I6</f>
        <v>FIFH Malmö 3 </v>
      </c>
      <c r="Q5" t="str">
        <f>I8</f>
        <v>Alberta 2</v>
      </c>
      <c r="S5" t="s">
        <v>23</v>
      </c>
    </row>
    <row r="6" spans="1:19" x14ac:dyDescent="0.3">
      <c r="A6" t="s">
        <v>24</v>
      </c>
      <c r="B6" t="s">
        <v>25</v>
      </c>
      <c r="I6" t="s">
        <v>26</v>
      </c>
      <c r="J6">
        <f t="shared" si="0"/>
        <v>4</v>
      </c>
      <c r="L6" t="s">
        <v>27</v>
      </c>
      <c r="M6" t="str">
        <f>I4</f>
        <v>Boston</v>
      </c>
      <c r="N6" t="str">
        <f>I6</f>
        <v>FIFH Malmö 3 </v>
      </c>
      <c r="P6" t="str">
        <f>I8</f>
        <v>Alberta 2</v>
      </c>
      <c r="Q6" t="str">
        <f>I7</f>
        <v>IFAH 3</v>
      </c>
      <c r="S6" t="s">
        <v>28</v>
      </c>
    </row>
    <row r="7" spans="1:19" x14ac:dyDescent="0.3">
      <c r="A7" t="s">
        <v>29</v>
      </c>
      <c r="B7" t="s">
        <v>10</v>
      </c>
      <c r="I7" t="s">
        <v>23</v>
      </c>
      <c r="J7">
        <f t="shared" si="0"/>
        <v>4</v>
      </c>
      <c r="L7" t="s">
        <v>30</v>
      </c>
      <c r="M7" t="str">
        <f>I4</f>
        <v>Boston</v>
      </c>
      <c r="N7" t="str">
        <f>I8</f>
        <v>Alberta 2</v>
      </c>
      <c r="P7" t="str">
        <f>I7</f>
        <v>IFAH 3</v>
      </c>
      <c r="Q7" t="str">
        <f>I5</f>
        <v>Ontario </v>
      </c>
      <c r="S7" t="s">
        <v>31</v>
      </c>
    </row>
    <row r="8" spans="1:19" x14ac:dyDescent="0.3">
      <c r="A8" t="s">
        <v>32</v>
      </c>
      <c r="B8" t="s">
        <v>15</v>
      </c>
      <c r="I8" t="s">
        <v>18</v>
      </c>
      <c r="J8">
        <f t="shared" si="0"/>
        <v>4</v>
      </c>
      <c r="L8" t="s">
        <v>33</v>
      </c>
      <c r="M8" t="str">
        <f>I8</f>
        <v>Alberta 2</v>
      </c>
      <c r="N8" t="str">
        <f>I5</f>
        <v>Ontario </v>
      </c>
      <c r="P8" t="str">
        <f>I6</f>
        <v>FIFH Malmö 3 </v>
      </c>
      <c r="Q8" t="str">
        <f>I7</f>
        <v>IFAH 3</v>
      </c>
      <c r="S8" t="s">
        <v>16</v>
      </c>
    </row>
    <row r="9" spans="1:19" x14ac:dyDescent="0.3">
      <c r="A9" t="s">
        <v>34</v>
      </c>
      <c r="B9" t="s">
        <v>9</v>
      </c>
    </row>
    <row r="11" spans="1:19" ht="15.6" x14ac:dyDescent="0.3">
      <c r="B11" s="1" t="s">
        <v>35</v>
      </c>
      <c r="D11" s="2" t="s">
        <v>1</v>
      </c>
      <c r="E11" s="2" t="s">
        <v>2</v>
      </c>
    </row>
    <row r="12" spans="1:19" x14ac:dyDescent="0.3">
      <c r="A12" t="s">
        <v>36</v>
      </c>
      <c r="B12" t="s">
        <v>37</v>
      </c>
      <c r="D12" t="s">
        <v>37</v>
      </c>
      <c r="E12" t="s">
        <v>38</v>
      </c>
    </row>
    <row r="13" spans="1:19" x14ac:dyDescent="0.3">
      <c r="A13" t="s">
        <v>39</v>
      </c>
      <c r="B13" t="s">
        <v>38</v>
      </c>
      <c r="D13" t="s">
        <v>40</v>
      </c>
      <c r="E13" t="s">
        <v>41</v>
      </c>
      <c r="I13" t="s">
        <v>11</v>
      </c>
    </row>
    <row r="14" spans="1:19" x14ac:dyDescent="0.3">
      <c r="A14" t="s">
        <v>42</v>
      </c>
      <c r="B14" t="s">
        <v>43</v>
      </c>
      <c r="D14" t="s">
        <v>44</v>
      </c>
      <c r="E14" t="s">
        <v>45</v>
      </c>
      <c r="I14" t="s">
        <v>16</v>
      </c>
      <c r="J14">
        <f>COUNTIF($M$4:$Q$8,I14)</f>
        <v>4</v>
      </c>
      <c r="L14" t="s">
        <v>17</v>
      </c>
      <c r="M14" t="str">
        <f>I14</f>
        <v>Boston</v>
      </c>
      <c r="N14" t="str">
        <f>I15</f>
        <v>Ontario </v>
      </c>
      <c r="P14" t="str">
        <f>I16</f>
        <v>FIFH Malmö 3 </v>
      </c>
      <c r="Q14" t="str">
        <f>I17</f>
        <v>IFAH 3</v>
      </c>
    </row>
    <row r="15" spans="1:19" x14ac:dyDescent="0.3">
      <c r="A15" t="s">
        <v>46</v>
      </c>
      <c r="B15" t="s">
        <v>40</v>
      </c>
      <c r="D15" t="s">
        <v>47</v>
      </c>
      <c r="E15" t="s">
        <v>43</v>
      </c>
      <c r="I15" t="s">
        <v>21</v>
      </c>
      <c r="J15">
        <f t="shared" ref="J15:J17" si="1">COUNTIF($M$4:$Q$8,I15)</f>
        <v>4</v>
      </c>
      <c r="L15" t="s">
        <v>22</v>
      </c>
      <c r="M15" t="str">
        <f>I14</f>
        <v>Boston</v>
      </c>
      <c r="N15" t="str">
        <f>I16</f>
        <v>FIFH Malmö 3 </v>
      </c>
      <c r="P15" t="str">
        <f>I17</f>
        <v>IFAH 3</v>
      </c>
      <c r="Q15" t="str">
        <f>I15</f>
        <v>Ontario </v>
      </c>
    </row>
    <row r="16" spans="1:19" x14ac:dyDescent="0.3">
      <c r="A16" t="s">
        <v>48</v>
      </c>
      <c r="B16" t="s">
        <v>41</v>
      </c>
      <c r="I16" t="s">
        <v>26</v>
      </c>
      <c r="J16">
        <f t="shared" si="1"/>
        <v>4</v>
      </c>
      <c r="L16" t="s">
        <v>27</v>
      </c>
      <c r="M16" t="str">
        <f>I14</f>
        <v>Boston</v>
      </c>
      <c r="N16" t="str">
        <f>I17</f>
        <v>IFAH 3</v>
      </c>
      <c r="P16" t="str">
        <f>I15</f>
        <v>Ontario </v>
      </c>
      <c r="Q16" t="str">
        <f>I16</f>
        <v>FIFH Malmö 3 </v>
      </c>
    </row>
    <row r="17" spans="1:14" x14ac:dyDescent="0.3">
      <c r="A17" s="36" t="s">
        <v>49</v>
      </c>
      <c r="B17" s="36" t="s">
        <v>45</v>
      </c>
      <c r="I17" t="s">
        <v>23</v>
      </c>
      <c r="J17">
        <f t="shared" si="1"/>
        <v>4</v>
      </c>
    </row>
    <row r="18" spans="1:14" x14ac:dyDescent="0.3">
      <c r="A18" t="s">
        <v>50</v>
      </c>
      <c r="B18" t="s">
        <v>44</v>
      </c>
      <c r="I18" s="2"/>
    </row>
    <row r="19" spans="1:14" x14ac:dyDescent="0.3">
      <c r="A19" t="s">
        <v>51</v>
      </c>
      <c r="B19" t="s">
        <v>47</v>
      </c>
    </row>
    <row r="21" spans="1:14" ht="15.6" x14ac:dyDescent="0.3">
      <c r="B21" s="1" t="s">
        <v>52</v>
      </c>
      <c r="D21" s="2" t="s">
        <v>1</v>
      </c>
      <c r="E21" s="2" t="s">
        <v>2</v>
      </c>
    </row>
    <row r="22" spans="1:14" x14ac:dyDescent="0.3">
      <c r="A22" t="s">
        <v>53</v>
      </c>
      <c r="B22" t="s">
        <v>54</v>
      </c>
      <c r="D22" t="s">
        <v>16</v>
      </c>
      <c r="E22" t="s">
        <v>54</v>
      </c>
    </row>
    <row r="23" spans="1:14" x14ac:dyDescent="0.3">
      <c r="A23" t="s">
        <v>55</v>
      </c>
      <c r="B23" t="s">
        <v>56</v>
      </c>
      <c r="D23" t="s">
        <v>21</v>
      </c>
      <c r="E23" t="s">
        <v>56</v>
      </c>
      <c r="J23" s="2"/>
      <c r="K23" s="2"/>
      <c r="L23" s="2"/>
      <c r="M23" s="2"/>
      <c r="N23" s="2"/>
    </row>
    <row r="24" spans="1:14" x14ac:dyDescent="0.3">
      <c r="A24" t="s">
        <v>57</v>
      </c>
      <c r="B24" t="s">
        <v>23</v>
      </c>
      <c r="D24" t="s">
        <v>26</v>
      </c>
      <c r="E24" t="s">
        <v>58</v>
      </c>
      <c r="I24" s="2"/>
    </row>
    <row r="25" spans="1:14" x14ac:dyDescent="0.3">
      <c r="A25" t="s">
        <v>59</v>
      </c>
      <c r="B25" t="s">
        <v>26</v>
      </c>
      <c r="D25" t="s">
        <v>23</v>
      </c>
      <c r="E25" t="s">
        <v>60</v>
      </c>
      <c r="I25" s="2"/>
    </row>
    <row r="26" spans="1:14" x14ac:dyDescent="0.3">
      <c r="A26" t="s">
        <v>61</v>
      </c>
      <c r="B26" t="s">
        <v>21</v>
      </c>
      <c r="D26" t="s">
        <v>18</v>
      </c>
      <c r="I26" s="2"/>
    </row>
    <row r="27" spans="1:14" x14ac:dyDescent="0.3">
      <c r="A27" t="s">
        <v>62</v>
      </c>
      <c r="B27" t="s">
        <v>63</v>
      </c>
      <c r="I27" s="2"/>
    </row>
    <row r="28" spans="1:14" x14ac:dyDescent="0.3">
      <c r="A28" t="s">
        <v>64</v>
      </c>
      <c r="B28" t="s">
        <v>18</v>
      </c>
      <c r="I28" s="2"/>
    </row>
    <row r="29" spans="1:14" x14ac:dyDescent="0.3">
      <c r="A29" t="s">
        <v>65</v>
      </c>
      <c r="B29" t="s">
        <v>16</v>
      </c>
    </row>
    <row r="30" spans="1:14" x14ac:dyDescent="0.3">
      <c r="A30" t="s">
        <v>66</v>
      </c>
      <c r="B30" t="s">
        <v>58</v>
      </c>
    </row>
  </sheetData>
  <sheetProtection sheet="1" objects="1" scenarios="1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7CF5-7E4B-4132-B41D-B51FEC390977}">
  <dimension ref="A1:U36"/>
  <sheetViews>
    <sheetView zoomScale="79" zoomScaleNormal="130" workbookViewId="0">
      <selection activeCell="C29" sqref="C29"/>
    </sheetView>
  </sheetViews>
  <sheetFormatPr defaultRowHeight="14.4" x14ac:dyDescent="0.3"/>
  <cols>
    <col min="1" max="1" width="9.6640625" style="2" bestFit="1" customWidth="1"/>
    <col min="2" max="2" width="11.33203125" bestFit="1" customWidth="1"/>
    <col min="3" max="3" width="18.109375" bestFit="1" customWidth="1"/>
    <col min="5" max="6" width="18.109375" bestFit="1" customWidth="1"/>
    <col min="15" max="15" width="10.44140625" bestFit="1" customWidth="1"/>
  </cols>
  <sheetData>
    <row r="1" spans="1:21" x14ac:dyDescent="0.3">
      <c r="A1" s="24" t="s">
        <v>67</v>
      </c>
    </row>
    <row r="2" spans="1:21" x14ac:dyDescent="0.3">
      <c r="A2" s="3" t="s">
        <v>1</v>
      </c>
      <c r="K2" s="2" t="s">
        <v>68</v>
      </c>
      <c r="L2" s="24" t="s">
        <v>69</v>
      </c>
      <c r="M2" s="24" t="s">
        <v>70</v>
      </c>
      <c r="O2" s="2" t="s">
        <v>71</v>
      </c>
      <c r="P2" s="24" t="s">
        <v>72</v>
      </c>
      <c r="Q2" s="24" t="s">
        <v>73</v>
      </c>
      <c r="S2" s="2" t="s">
        <v>74</v>
      </c>
      <c r="T2" s="24" t="s">
        <v>75</v>
      </c>
      <c r="U2" s="24" t="s">
        <v>76</v>
      </c>
    </row>
    <row r="3" spans="1:21" x14ac:dyDescent="0.3">
      <c r="A3" s="3" t="s">
        <v>77</v>
      </c>
      <c r="B3" s="3" t="s">
        <v>5</v>
      </c>
      <c r="C3" s="3" t="s">
        <v>78</v>
      </c>
      <c r="E3" s="3" t="s">
        <v>9</v>
      </c>
      <c r="F3" s="3" t="s">
        <v>4</v>
      </c>
      <c r="I3" t="s">
        <v>69</v>
      </c>
      <c r="K3" s="2" t="s">
        <v>79</v>
      </c>
      <c r="L3" s="24" t="s">
        <v>80</v>
      </c>
      <c r="M3" s="24" t="s">
        <v>81</v>
      </c>
      <c r="O3" s="2" t="s">
        <v>82</v>
      </c>
      <c r="P3" s="24" t="s">
        <v>83</v>
      </c>
      <c r="Q3" s="24" t="s">
        <v>84</v>
      </c>
      <c r="S3" s="2" t="s">
        <v>85</v>
      </c>
      <c r="T3" s="24" t="s">
        <v>86</v>
      </c>
      <c r="U3" s="24" t="s">
        <v>87</v>
      </c>
    </row>
    <row r="4" spans="1:21" x14ac:dyDescent="0.3">
      <c r="A4" s="3" t="s">
        <v>88</v>
      </c>
      <c r="B4" s="3" t="s">
        <v>5</v>
      </c>
      <c r="C4" s="3" t="s">
        <v>9</v>
      </c>
      <c r="E4" s="3" t="s">
        <v>4</v>
      </c>
      <c r="F4" s="3" t="s">
        <v>78</v>
      </c>
      <c r="I4" t="s">
        <v>89</v>
      </c>
      <c r="K4" s="2" t="s">
        <v>90</v>
      </c>
      <c r="L4" s="24" t="s">
        <v>89</v>
      </c>
      <c r="M4" s="24" t="s">
        <v>91</v>
      </c>
    </row>
    <row r="5" spans="1:21" x14ac:dyDescent="0.3">
      <c r="A5" s="3" t="s">
        <v>92</v>
      </c>
      <c r="B5" s="3" t="s">
        <v>5</v>
      </c>
      <c r="C5" s="3" t="s">
        <v>4</v>
      </c>
      <c r="E5" s="3" t="s">
        <v>78</v>
      </c>
      <c r="F5" s="3" t="s">
        <v>9</v>
      </c>
      <c r="I5" t="s">
        <v>93</v>
      </c>
      <c r="K5" s="2" t="s">
        <v>94</v>
      </c>
      <c r="L5" s="24" t="s">
        <v>95</v>
      </c>
      <c r="M5" s="24" t="s">
        <v>93</v>
      </c>
      <c r="O5" s="2"/>
    </row>
    <row r="6" spans="1:21" x14ac:dyDescent="0.3">
      <c r="I6" t="s">
        <v>81</v>
      </c>
      <c r="O6" s="2" t="s">
        <v>96</v>
      </c>
    </row>
    <row r="7" spans="1:21" x14ac:dyDescent="0.3">
      <c r="A7" s="4" t="s">
        <v>2</v>
      </c>
      <c r="O7" s="2" t="s">
        <v>97</v>
      </c>
      <c r="P7" s="24" t="s">
        <v>98</v>
      </c>
      <c r="Q7" s="24" t="s">
        <v>99</v>
      </c>
      <c r="S7" s="22" t="s">
        <v>100</v>
      </c>
      <c r="T7" s="24" t="s">
        <v>101</v>
      </c>
      <c r="U7" s="24" t="s">
        <v>102</v>
      </c>
    </row>
    <row r="8" spans="1:21" x14ac:dyDescent="0.3">
      <c r="A8" s="4" t="s">
        <v>77</v>
      </c>
      <c r="B8" s="4" t="s">
        <v>6</v>
      </c>
      <c r="C8" s="4" t="s">
        <v>8</v>
      </c>
      <c r="E8" s="4" t="s">
        <v>10</v>
      </c>
      <c r="F8" s="4" t="s">
        <v>15</v>
      </c>
      <c r="I8" t="s">
        <v>80</v>
      </c>
      <c r="O8" s="2" t="s">
        <v>103</v>
      </c>
      <c r="P8" s="24" t="s">
        <v>104</v>
      </c>
      <c r="Q8" s="24" t="s">
        <v>105</v>
      </c>
      <c r="S8" s="2" t="s">
        <v>106</v>
      </c>
      <c r="T8" s="24" t="s">
        <v>107</v>
      </c>
      <c r="U8" s="24" t="s">
        <v>108</v>
      </c>
    </row>
    <row r="9" spans="1:21" x14ac:dyDescent="0.3">
      <c r="A9" s="4" t="s">
        <v>88</v>
      </c>
      <c r="B9" s="4" t="s">
        <v>6</v>
      </c>
      <c r="C9" s="4" t="s">
        <v>10</v>
      </c>
      <c r="E9" s="4" t="s">
        <v>15</v>
      </c>
      <c r="F9" s="4" t="s">
        <v>8</v>
      </c>
      <c r="I9" t="s">
        <v>95</v>
      </c>
    </row>
    <row r="10" spans="1:21" x14ac:dyDescent="0.3">
      <c r="A10" s="4" t="s">
        <v>92</v>
      </c>
      <c r="B10" s="4" t="s">
        <v>6</v>
      </c>
      <c r="C10" s="4" t="s">
        <v>15</v>
      </c>
      <c r="E10" s="4" t="s">
        <v>10</v>
      </c>
      <c r="F10" s="4" t="s">
        <v>8</v>
      </c>
      <c r="I10" t="s">
        <v>91</v>
      </c>
    </row>
    <row r="11" spans="1:21" x14ac:dyDescent="0.3">
      <c r="I11" t="s">
        <v>70</v>
      </c>
    </row>
    <row r="12" spans="1:21" x14ac:dyDescent="0.3">
      <c r="A12" s="23" t="s">
        <v>109</v>
      </c>
    </row>
    <row r="13" spans="1:21" x14ac:dyDescent="0.3">
      <c r="A13" s="5" t="s">
        <v>1</v>
      </c>
      <c r="K13" s="2" t="s">
        <v>68</v>
      </c>
      <c r="L13" s="23" t="s">
        <v>69</v>
      </c>
      <c r="M13" s="23" t="s">
        <v>70</v>
      </c>
      <c r="O13" s="2" t="s">
        <v>71</v>
      </c>
      <c r="P13" s="23" t="s">
        <v>72</v>
      </c>
      <c r="Q13" s="23" t="s">
        <v>73</v>
      </c>
      <c r="S13" s="2" t="s">
        <v>74</v>
      </c>
      <c r="T13" s="23" t="s">
        <v>75</v>
      </c>
      <c r="U13" s="23" t="s">
        <v>76</v>
      </c>
    </row>
    <row r="14" spans="1:21" x14ac:dyDescent="0.3">
      <c r="A14" s="5" t="s">
        <v>77</v>
      </c>
      <c r="B14" s="5" t="s">
        <v>37</v>
      </c>
      <c r="C14" s="5" t="s">
        <v>56</v>
      </c>
      <c r="E14" s="5" t="s">
        <v>40</v>
      </c>
      <c r="F14" s="5" t="s">
        <v>44</v>
      </c>
      <c r="I14" t="s">
        <v>69</v>
      </c>
      <c r="K14" s="2" t="s">
        <v>79</v>
      </c>
      <c r="L14" s="23" t="s">
        <v>80</v>
      </c>
      <c r="M14" s="23" t="s">
        <v>81</v>
      </c>
      <c r="O14" s="2" t="s">
        <v>82</v>
      </c>
      <c r="P14" s="23" t="s">
        <v>83</v>
      </c>
      <c r="Q14" s="23" t="s">
        <v>84</v>
      </c>
      <c r="S14" s="2" t="s">
        <v>85</v>
      </c>
      <c r="T14" s="23" t="s">
        <v>86</v>
      </c>
      <c r="U14" s="23" t="s">
        <v>87</v>
      </c>
    </row>
    <row r="15" spans="1:21" x14ac:dyDescent="0.3">
      <c r="A15" s="5" t="s">
        <v>88</v>
      </c>
      <c r="B15" s="5" t="s">
        <v>37</v>
      </c>
      <c r="C15" s="5" t="s">
        <v>40</v>
      </c>
      <c r="E15" s="5" t="s">
        <v>44</v>
      </c>
      <c r="F15" s="5" t="s">
        <v>56</v>
      </c>
      <c r="I15" t="s">
        <v>89</v>
      </c>
      <c r="K15" s="2" t="s">
        <v>90</v>
      </c>
      <c r="L15" s="23" t="s">
        <v>89</v>
      </c>
      <c r="M15" s="23" t="s">
        <v>91</v>
      </c>
    </row>
    <row r="16" spans="1:21" x14ac:dyDescent="0.3">
      <c r="A16" s="5" t="s">
        <v>92</v>
      </c>
      <c r="B16" s="5" t="s">
        <v>37</v>
      </c>
      <c r="C16" s="5" t="s">
        <v>44</v>
      </c>
      <c r="E16" s="5" t="s">
        <v>40</v>
      </c>
      <c r="F16" s="5" t="s">
        <v>56</v>
      </c>
      <c r="I16" t="s">
        <v>93</v>
      </c>
      <c r="K16" s="2" t="s">
        <v>94</v>
      </c>
      <c r="L16" s="23" t="s">
        <v>91</v>
      </c>
      <c r="M16" s="23" t="s">
        <v>70</v>
      </c>
      <c r="O16" s="2"/>
    </row>
    <row r="17" spans="1:21" x14ac:dyDescent="0.3">
      <c r="I17" t="s">
        <v>81</v>
      </c>
      <c r="O17" s="2" t="s">
        <v>96</v>
      </c>
    </row>
    <row r="18" spans="1:21" x14ac:dyDescent="0.3">
      <c r="A18" s="6" t="s">
        <v>2</v>
      </c>
      <c r="O18" s="2" t="s">
        <v>97</v>
      </c>
      <c r="P18" s="23" t="s">
        <v>98</v>
      </c>
      <c r="Q18" s="23" t="s">
        <v>99</v>
      </c>
      <c r="S18" s="22" t="s">
        <v>100</v>
      </c>
      <c r="T18" s="23" t="s">
        <v>101</v>
      </c>
      <c r="U18" s="23" t="s">
        <v>102</v>
      </c>
    </row>
    <row r="19" spans="1:21" x14ac:dyDescent="0.3">
      <c r="A19" s="6" t="s">
        <v>77</v>
      </c>
      <c r="B19" s="6" t="s">
        <v>38</v>
      </c>
      <c r="C19" s="6" t="s">
        <v>43</v>
      </c>
      <c r="E19" s="6" t="s">
        <v>41</v>
      </c>
      <c r="F19" s="6" t="s">
        <v>45</v>
      </c>
      <c r="I19" t="s">
        <v>80</v>
      </c>
      <c r="O19" s="2" t="s">
        <v>103</v>
      </c>
      <c r="P19" s="23" t="s">
        <v>104</v>
      </c>
      <c r="Q19" s="23" t="s">
        <v>105</v>
      </c>
      <c r="S19" s="2" t="s">
        <v>106</v>
      </c>
      <c r="T19" s="23" t="s">
        <v>107</v>
      </c>
      <c r="U19" s="23" t="s">
        <v>108</v>
      </c>
    </row>
    <row r="20" spans="1:21" x14ac:dyDescent="0.3">
      <c r="A20" s="6" t="s">
        <v>88</v>
      </c>
      <c r="B20" s="6" t="s">
        <v>38</v>
      </c>
      <c r="C20" s="6" t="s">
        <v>41</v>
      </c>
      <c r="E20" s="6" t="s">
        <v>45</v>
      </c>
      <c r="F20" s="6" t="s">
        <v>43</v>
      </c>
      <c r="I20" t="s">
        <v>95</v>
      </c>
    </row>
    <row r="21" spans="1:21" x14ac:dyDescent="0.3">
      <c r="A21" s="6" t="s">
        <v>92</v>
      </c>
      <c r="B21" s="6" t="s">
        <v>38</v>
      </c>
      <c r="C21" s="6" t="s">
        <v>45</v>
      </c>
      <c r="E21" s="6" t="s">
        <v>41</v>
      </c>
      <c r="F21" s="6" t="s">
        <v>43</v>
      </c>
      <c r="I21" t="s">
        <v>91</v>
      </c>
    </row>
    <row r="22" spans="1:21" x14ac:dyDescent="0.3">
      <c r="I22" t="s">
        <v>70</v>
      </c>
    </row>
    <row r="23" spans="1:21" x14ac:dyDescent="0.3">
      <c r="A23" s="25" t="s">
        <v>110</v>
      </c>
    </row>
    <row r="24" spans="1:21" x14ac:dyDescent="0.3">
      <c r="A24" s="7" t="s">
        <v>1</v>
      </c>
      <c r="K24" s="25" t="s">
        <v>111</v>
      </c>
    </row>
    <row r="25" spans="1:21" x14ac:dyDescent="0.3">
      <c r="A25" s="7" t="s">
        <v>77</v>
      </c>
      <c r="B25" s="7" t="s">
        <v>16</v>
      </c>
      <c r="C25" s="7" t="s">
        <v>23</v>
      </c>
      <c r="E25" s="7" t="s">
        <v>21</v>
      </c>
      <c r="F25" s="7" t="s">
        <v>26</v>
      </c>
      <c r="H25" s="2"/>
      <c r="I25" t="s">
        <v>69</v>
      </c>
      <c r="K25" s="25" t="s">
        <v>69</v>
      </c>
      <c r="M25" s="2" t="s">
        <v>71</v>
      </c>
      <c r="N25" s="25" t="s">
        <v>69</v>
      </c>
      <c r="O25" s="25" t="s">
        <v>112</v>
      </c>
      <c r="Q25" s="2" t="s">
        <v>74</v>
      </c>
      <c r="R25" s="25" t="s">
        <v>75</v>
      </c>
      <c r="S25" s="25" t="s">
        <v>76</v>
      </c>
    </row>
    <row r="26" spans="1:21" x14ac:dyDescent="0.3">
      <c r="A26" s="7" t="s">
        <v>88</v>
      </c>
      <c r="B26" s="7" t="s">
        <v>16</v>
      </c>
      <c r="C26" s="7" t="s">
        <v>21</v>
      </c>
      <c r="E26" s="7" t="s">
        <v>26</v>
      </c>
      <c r="F26" s="7" t="s">
        <v>18</v>
      </c>
      <c r="H26" s="2"/>
      <c r="I26" t="s">
        <v>89</v>
      </c>
      <c r="K26" s="25" t="s">
        <v>89</v>
      </c>
      <c r="M26" s="2" t="s">
        <v>82</v>
      </c>
      <c r="N26" s="25" t="s">
        <v>80</v>
      </c>
      <c r="O26" s="25" t="s">
        <v>113</v>
      </c>
      <c r="Q26" s="2" t="s">
        <v>85</v>
      </c>
      <c r="R26" s="25" t="s">
        <v>86</v>
      </c>
      <c r="S26" s="25" t="s">
        <v>87</v>
      </c>
    </row>
    <row r="27" spans="1:21" x14ac:dyDescent="0.3">
      <c r="A27" s="7" t="s">
        <v>92</v>
      </c>
      <c r="B27" s="7" t="s">
        <v>16</v>
      </c>
      <c r="C27" s="7" t="s">
        <v>26</v>
      </c>
      <c r="E27" s="7" t="s">
        <v>18</v>
      </c>
      <c r="F27" s="7" t="s">
        <v>23</v>
      </c>
      <c r="H27" s="2"/>
      <c r="I27" t="s">
        <v>93</v>
      </c>
      <c r="K27" s="25" t="s">
        <v>80</v>
      </c>
    </row>
    <row r="28" spans="1:21" x14ac:dyDescent="0.3">
      <c r="A28" s="7" t="s">
        <v>114</v>
      </c>
      <c r="B28" s="7" t="s">
        <v>16</v>
      </c>
      <c r="C28" s="7" t="s">
        <v>18</v>
      </c>
      <c r="E28" s="7" t="s">
        <v>23</v>
      </c>
      <c r="F28" s="7" t="s">
        <v>21</v>
      </c>
      <c r="H28" s="2"/>
      <c r="I28" t="s">
        <v>81</v>
      </c>
      <c r="K28" s="25" t="s">
        <v>95</v>
      </c>
    </row>
    <row r="29" spans="1:21" x14ac:dyDescent="0.3">
      <c r="A29" s="7" t="s">
        <v>115</v>
      </c>
      <c r="B29" s="7" t="s">
        <v>18</v>
      </c>
      <c r="C29" s="7" t="s">
        <v>21</v>
      </c>
      <c r="E29" s="7" t="s">
        <v>26</v>
      </c>
      <c r="F29" s="7" t="s">
        <v>23</v>
      </c>
      <c r="H29" s="2"/>
      <c r="I29" t="s">
        <v>116</v>
      </c>
    </row>
    <row r="30" spans="1:21" x14ac:dyDescent="0.3">
      <c r="H30" s="2"/>
    </row>
    <row r="31" spans="1:21" x14ac:dyDescent="0.3">
      <c r="A31" s="8" t="s">
        <v>2</v>
      </c>
      <c r="H31" s="2"/>
      <c r="I31" t="s">
        <v>80</v>
      </c>
      <c r="K31" s="26" t="s">
        <v>117</v>
      </c>
      <c r="M31" s="2" t="s">
        <v>71</v>
      </c>
      <c r="N31" s="26" t="s">
        <v>93</v>
      </c>
      <c r="O31" s="26" t="s">
        <v>70</v>
      </c>
      <c r="Q31" s="2" t="s">
        <v>74</v>
      </c>
      <c r="R31" s="26" t="s">
        <v>75</v>
      </c>
      <c r="S31" s="26" t="s">
        <v>76</v>
      </c>
    </row>
    <row r="32" spans="1:21" x14ac:dyDescent="0.3">
      <c r="A32" s="8" t="s">
        <v>77</v>
      </c>
      <c r="B32" s="8" t="s">
        <v>54</v>
      </c>
      <c r="C32" s="8" t="s">
        <v>60</v>
      </c>
      <c r="E32" s="8" t="s">
        <v>56</v>
      </c>
      <c r="F32" s="8" t="s">
        <v>58</v>
      </c>
      <c r="H32" s="2"/>
      <c r="I32" t="s">
        <v>95</v>
      </c>
      <c r="K32" s="26" t="s">
        <v>93</v>
      </c>
      <c r="M32" s="2" t="s">
        <v>82</v>
      </c>
      <c r="N32" s="26" t="s">
        <v>91</v>
      </c>
      <c r="O32" s="26" t="s">
        <v>81</v>
      </c>
      <c r="Q32" s="2"/>
    </row>
    <row r="33" spans="1:21" x14ac:dyDescent="0.3">
      <c r="A33" s="8" t="s">
        <v>88</v>
      </c>
      <c r="B33" s="8" t="s">
        <v>54</v>
      </c>
      <c r="C33" s="8" t="s">
        <v>56</v>
      </c>
      <c r="E33" s="8" t="s">
        <v>58</v>
      </c>
      <c r="F33" s="8" t="s">
        <v>60</v>
      </c>
      <c r="H33" s="2"/>
      <c r="I33" t="s">
        <v>91</v>
      </c>
      <c r="K33" s="26" t="s">
        <v>81</v>
      </c>
      <c r="Q33" s="2" t="s">
        <v>85</v>
      </c>
    </row>
    <row r="34" spans="1:21" x14ac:dyDescent="0.3">
      <c r="A34" s="8" t="s">
        <v>92</v>
      </c>
      <c r="B34" s="8" t="s">
        <v>54</v>
      </c>
      <c r="C34" s="8" t="s">
        <v>58</v>
      </c>
      <c r="E34" s="8" t="s">
        <v>56</v>
      </c>
      <c r="F34" s="8" t="s">
        <v>60</v>
      </c>
      <c r="I34" t="s">
        <v>70</v>
      </c>
      <c r="K34" s="26" t="s">
        <v>116</v>
      </c>
      <c r="N34" t="s">
        <v>116</v>
      </c>
      <c r="Q34" s="2" t="s">
        <v>118</v>
      </c>
      <c r="R34" s="26" t="s">
        <v>86</v>
      </c>
      <c r="S34" s="26" t="s">
        <v>87</v>
      </c>
      <c r="U34" t="s">
        <v>119</v>
      </c>
    </row>
    <row r="35" spans="1:21" x14ac:dyDescent="0.3">
      <c r="K35" s="26" t="s">
        <v>91</v>
      </c>
      <c r="Q35" s="2" t="s">
        <v>120</v>
      </c>
      <c r="R35" s="26" t="s">
        <v>87</v>
      </c>
      <c r="S35" s="26" t="s">
        <v>119</v>
      </c>
      <c r="U35" t="s">
        <v>86</v>
      </c>
    </row>
    <row r="36" spans="1:21" x14ac:dyDescent="0.3">
      <c r="K36" s="26" t="s">
        <v>70</v>
      </c>
      <c r="Q36" s="2" t="s">
        <v>121</v>
      </c>
      <c r="R36" s="26" t="s">
        <v>119</v>
      </c>
      <c r="S36" s="26" t="s">
        <v>86</v>
      </c>
      <c r="U36" t="s">
        <v>86</v>
      </c>
    </row>
  </sheetData>
  <sheetProtection sheet="1" objects="1" scenarios="1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3F49-69DE-499E-8966-E3E1EE100A1A}">
  <sheetPr>
    <pageSetUpPr fitToPage="1"/>
  </sheetPr>
  <dimension ref="A1:Z48"/>
  <sheetViews>
    <sheetView zoomScaleNormal="100" workbookViewId="0">
      <selection activeCell="O21" sqref="O21"/>
    </sheetView>
  </sheetViews>
  <sheetFormatPr defaultRowHeight="14.4" x14ac:dyDescent="0.3"/>
  <cols>
    <col min="3" max="3" width="12.44140625" style="31" bestFit="1" customWidth="1"/>
    <col min="4" max="5" width="18.109375" bestFit="1" customWidth="1"/>
    <col min="7" max="7" width="12.44140625" style="31" bestFit="1" customWidth="1"/>
    <col min="8" max="9" width="18.109375" bestFit="1" customWidth="1"/>
    <col min="11" max="11" width="12.44140625" style="31" bestFit="1" customWidth="1"/>
    <col min="12" max="13" width="18.109375" bestFit="1" customWidth="1"/>
    <col min="15" max="15" width="12.44140625" style="31" bestFit="1" customWidth="1"/>
    <col min="16" max="17" width="18.109375" bestFit="1" customWidth="1"/>
    <col min="22" max="22" width="11.33203125" bestFit="1" customWidth="1"/>
    <col min="23" max="23" width="18.109375" style="10" bestFit="1" customWidth="1"/>
    <col min="24" max="24" width="9.109375" style="10"/>
    <col min="25" max="26" width="18.109375" bestFit="1" customWidth="1"/>
  </cols>
  <sheetData>
    <row r="1" spans="1:26" ht="15.6" x14ac:dyDescent="0.3">
      <c r="A1" s="1" t="s">
        <v>122</v>
      </c>
      <c r="D1" s="40" t="s">
        <v>123</v>
      </c>
      <c r="E1" s="41"/>
      <c r="H1" s="40" t="s">
        <v>124</v>
      </c>
      <c r="I1" s="41"/>
      <c r="L1" s="40" t="s">
        <v>125</v>
      </c>
      <c r="M1" s="41"/>
      <c r="P1" s="40" t="s">
        <v>126</v>
      </c>
      <c r="Q1" s="41"/>
    </row>
    <row r="2" spans="1:26" ht="15.6" x14ac:dyDescent="0.3">
      <c r="A2" s="9">
        <v>0.36458333333333331</v>
      </c>
      <c r="B2" s="42" t="s">
        <v>127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V2" s="2"/>
    </row>
    <row r="3" spans="1:26" ht="15.6" x14ac:dyDescent="0.3">
      <c r="A3" s="9">
        <v>0.40625</v>
      </c>
      <c r="C3" s="31" t="s">
        <v>128</v>
      </c>
      <c r="D3" s="11" t="s">
        <v>18</v>
      </c>
      <c r="E3" s="11" t="s">
        <v>21</v>
      </c>
      <c r="F3" s="17"/>
      <c r="G3" s="31" t="str">
        <f>C3</f>
        <v>DIV 1 GRUOP A</v>
      </c>
      <c r="H3" s="11" t="s">
        <v>26</v>
      </c>
      <c r="I3" s="11" t="s">
        <v>23</v>
      </c>
      <c r="J3" s="17"/>
      <c r="K3" s="31" t="s">
        <v>129</v>
      </c>
      <c r="L3" s="18" t="s">
        <v>6</v>
      </c>
      <c r="M3" s="18" t="s">
        <v>8</v>
      </c>
      <c r="N3" s="17"/>
      <c r="O3" s="31" t="str">
        <f>K3</f>
        <v>ELITE GROUP B</v>
      </c>
      <c r="P3" s="18" t="s">
        <v>10</v>
      </c>
      <c r="Q3" s="18" t="s">
        <v>15</v>
      </c>
      <c r="V3" s="2"/>
    </row>
    <row r="4" spans="1:26" ht="15.6" x14ac:dyDescent="0.3">
      <c r="A4" s="9">
        <v>0.4375</v>
      </c>
      <c r="C4" s="31" t="s">
        <v>130</v>
      </c>
      <c r="D4" s="19" t="s">
        <v>5</v>
      </c>
      <c r="E4" s="19" t="s">
        <v>78</v>
      </c>
      <c r="F4" s="17"/>
      <c r="G4" s="31" t="str">
        <f t="shared" ref="G4:G6" si="0">C4</f>
        <v>ELITE GROUP A</v>
      </c>
      <c r="H4" s="19" t="s">
        <v>9</v>
      </c>
      <c r="I4" s="19" t="s">
        <v>4</v>
      </c>
      <c r="J4" s="17"/>
      <c r="K4" s="31" t="s">
        <v>131</v>
      </c>
      <c r="L4" s="20" t="s">
        <v>38</v>
      </c>
      <c r="M4" s="20" t="s">
        <v>43</v>
      </c>
      <c r="N4" s="17"/>
      <c r="O4" s="31" t="str">
        <f t="shared" ref="O4:O5" si="1">K4</f>
        <v>MAJOR GROUP B</v>
      </c>
      <c r="P4" s="20" t="s">
        <v>41</v>
      </c>
      <c r="Q4" s="20" t="s">
        <v>45</v>
      </c>
      <c r="V4" s="2"/>
    </row>
    <row r="5" spans="1:26" ht="15.6" x14ac:dyDescent="0.3">
      <c r="A5" s="9">
        <v>0.46875</v>
      </c>
      <c r="C5" s="31" t="s">
        <v>128</v>
      </c>
      <c r="D5" s="11" t="s">
        <v>16</v>
      </c>
      <c r="E5" s="11" t="s">
        <v>23</v>
      </c>
      <c r="F5" s="17"/>
      <c r="G5" s="31" t="str">
        <f t="shared" si="0"/>
        <v>DIV 1 GRUOP A</v>
      </c>
      <c r="H5" s="11" t="s">
        <v>21</v>
      </c>
      <c r="I5" s="11" t="s">
        <v>26</v>
      </c>
      <c r="J5" s="17"/>
      <c r="K5" s="31" t="s">
        <v>132</v>
      </c>
      <c r="L5" s="12" t="s">
        <v>54</v>
      </c>
      <c r="M5" s="12" t="s">
        <v>60</v>
      </c>
      <c r="N5" s="17"/>
      <c r="O5" s="31" t="str">
        <f t="shared" si="1"/>
        <v>DIV 1 GRUOP B</v>
      </c>
      <c r="P5" s="12" t="s">
        <v>56</v>
      </c>
      <c r="Q5" s="12" t="s">
        <v>58</v>
      </c>
      <c r="V5" s="2"/>
    </row>
    <row r="6" spans="1:26" ht="15.6" x14ac:dyDescent="0.3">
      <c r="A6" s="9">
        <v>0.5</v>
      </c>
      <c r="C6" s="31" t="s">
        <v>133</v>
      </c>
      <c r="D6" s="21" t="s">
        <v>37</v>
      </c>
      <c r="E6" s="21" t="s">
        <v>134</v>
      </c>
      <c r="F6" s="17"/>
      <c r="G6" s="31" t="str">
        <f t="shared" si="0"/>
        <v>MAJOR GROUP A</v>
      </c>
      <c r="H6" s="21" t="s">
        <v>40</v>
      </c>
      <c r="I6" s="21" t="s">
        <v>44</v>
      </c>
      <c r="J6" s="17"/>
      <c r="K6" s="32"/>
      <c r="L6" s="42" t="s">
        <v>135</v>
      </c>
      <c r="M6" s="42"/>
      <c r="N6" s="42"/>
      <c r="O6" s="42"/>
      <c r="P6" s="42"/>
      <c r="Q6" s="42"/>
    </row>
    <row r="7" spans="1:26" ht="15.6" x14ac:dyDescent="0.3">
      <c r="A7" s="9">
        <v>0.53125</v>
      </c>
      <c r="D7" s="42" t="s">
        <v>135</v>
      </c>
      <c r="E7" s="42"/>
      <c r="F7" s="42"/>
      <c r="G7" s="42"/>
      <c r="H7" s="42"/>
      <c r="I7" s="42"/>
      <c r="J7" s="17"/>
      <c r="K7" s="31" t="s">
        <v>130</v>
      </c>
      <c r="L7" s="13" t="s">
        <v>5</v>
      </c>
      <c r="M7" s="13" t="s">
        <v>9</v>
      </c>
      <c r="N7" s="17"/>
      <c r="O7" s="31" t="str">
        <f>K7</f>
        <v>ELITE GROUP A</v>
      </c>
      <c r="P7" s="13" t="s">
        <v>4</v>
      </c>
      <c r="Q7" s="13" t="s">
        <v>78</v>
      </c>
      <c r="V7" s="2"/>
      <c r="Z7" s="2"/>
    </row>
    <row r="8" spans="1:26" ht="15.6" x14ac:dyDescent="0.3">
      <c r="A8" s="9">
        <v>0.5625</v>
      </c>
      <c r="C8" s="31" t="s">
        <v>129</v>
      </c>
      <c r="D8" s="14" t="s">
        <v>6</v>
      </c>
      <c r="E8" s="14" t="s">
        <v>10</v>
      </c>
      <c r="F8" s="17"/>
      <c r="G8" s="31" t="str">
        <f>C8</f>
        <v>ELITE GROUP B</v>
      </c>
      <c r="H8" s="14" t="s">
        <v>15</v>
      </c>
      <c r="I8" s="14" t="s">
        <v>8</v>
      </c>
      <c r="J8" s="17"/>
      <c r="K8" s="31" t="s">
        <v>128</v>
      </c>
      <c r="L8" s="11" t="s">
        <v>16</v>
      </c>
      <c r="M8" s="11" t="s">
        <v>21</v>
      </c>
      <c r="O8" s="31" t="str">
        <f t="shared" ref="O8:O13" si="2">K8</f>
        <v>DIV 1 GRUOP A</v>
      </c>
      <c r="P8" s="11" t="s">
        <v>26</v>
      </c>
      <c r="Q8" s="11" t="s">
        <v>18</v>
      </c>
      <c r="Z8" s="2"/>
    </row>
    <row r="9" spans="1:26" ht="15.6" x14ac:dyDescent="0.3">
      <c r="A9" s="9">
        <v>0.59375</v>
      </c>
      <c r="C9" s="31" t="s">
        <v>131</v>
      </c>
      <c r="D9" s="16" t="s">
        <v>38</v>
      </c>
      <c r="E9" s="16" t="s">
        <v>41</v>
      </c>
      <c r="F9" s="17"/>
      <c r="G9" s="31" t="str">
        <f t="shared" ref="G9:G13" si="3">C9</f>
        <v>MAJOR GROUP B</v>
      </c>
      <c r="H9" s="16" t="s">
        <v>45</v>
      </c>
      <c r="I9" s="16" t="s">
        <v>43</v>
      </c>
      <c r="J9" s="17"/>
      <c r="K9" s="31" t="s">
        <v>133</v>
      </c>
      <c r="L9" s="15" t="s">
        <v>37</v>
      </c>
      <c r="M9" s="15" t="s">
        <v>40</v>
      </c>
      <c r="N9" s="17"/>
      <c r="O9" s="31" t="str">
        <f t="shared" si="2"/>
        <v>MAJOR GROUP A</v>
      </c>
      <c r="P9" s="15" t="s">
        <v>44</v>
      </c>
      <c r="Q9" s="15" t="s">
        <v>134</v>
      </c>
    </row>
    <row r="10" spans="1:26" ht="15.6" x14ac:dyDescent="0.3">
      <c r="A10" s="9">
        <v>0.625</v>
      </c>
      <c r="C10" s="31" t="s">
        <v>132</v>
      </c>
      <c r="D10" s="12" t="s">
        <v>54</v>
      </c>
      <c r="E10" s="12" t="s">
        <v>56</v>
      </c>
      <c r="F10" s="17"/>
      <c r="G10" s="31" t="str">
        <f t="shared" si="3"/>
        <v>DIV 1 GRUOP B</v>
      </c>
      <c r="H10" s="12" t="s">
        <v>58</v>
      </c>
      <c r="I10" s="12" t="s">
        <v>60</v>
      </c>
      <c r="J10" s="17"/>
      <c r="K10" s="31" t="s">
        <v>128</v>
      </c>
      <c r="L10" s="11" t="s">
        <v>16</v>
      </c>
      <c r="M10" s="11" t="s">
        <v>26</v>
      </c>
      <c r="N10" s="17"/>
      <c r="O10" s="31" t="str">
        <f t="shared" si="2"/>
        <v>DIV 1 GRUOP A</v>
      </c>
      <c r="P10" s="11" t="s">
        <v>18</v>
      </c>
      <c r="Q10" s="11" t="s">
        <v>23</v>
      </c>
      <c r="V10" s="2"/>
    </row>
    <row r="11" spans="1:26" ht="15.6" x14ac:dyDescent="0.3">
      <c r="A11" s="9">
        <v>0.65625</v>
      </c>
      <c r="C11" s="31" t="s">
        <v>130</v>
      </c>
      <c r="D11" s="13" t="s">
        <v>5</v>
      </c>
      <c r="E11" s="13" t="s">
        <v>4</v>
      </c>
      <c r="F11" s="17"/>
      <c r="G11" s="31" t="str">
        <f t="shared" si="3"/>
        <v>ELITE GROUP A</v>
      </c>
      <c r="H11" s="13" t="s">
        <v>78</v>
      </c>
      <c r="I11" s="13" t="s">
        <v>9</v>
      </c>
      <c r="J11" s="17"/>
      <c r="K11" s="31" t="s">
        <v>131</v>
      </c>
      <c r="L11" s="16" t="s">
        <v>38</v>
      </c>
      <c r="M11" s="16" t="s">
        <v>45</v>
      </c>
      <c r="N11" s="17"/>
      <c r="O11" s="31" t="str">
        <f t="shared" si="2"/>
        <v>MAJOR GROUP B</v>
      </c>
      <c r="P11" s="16" t="s">
        <v>41</v>
      </c>
      <c r="Q11" s="16" t="s">
        <v>43</v>
      </c>
      <c r="V11" s="2"/>
    </row>
    <row r="12" spans="1:26" ht="15.6" x14ac:dyDescent="0.3">
      <c r="A12" s="9">
        <v>0.6875</v>
      </c>
      <c r="C12" s="31" t="s">
        <v>133</v>
      </c>
      <c r="D12" s="15" t="s">
        <v>37</v>
      </c>
      <c r="E12" s="15" t="s">
        <v>44</v>
      </c>
      <c r="F12" s="17"/>
      <c r="G12" s="31" t="str">
        <f t="shared" si="3"/>
        <v>MAJOR GROUP A</v>
      </c>
      <c r="H12" s="15" t="s">
        <v>40</v>
      </c>
      <c r="I12" s="15" t="s">
        <v>134</v>
      </c>
      <c r="J12" s="17"/>
      <c r="K12" s="31" t="s">
        <v>129</v>
      </c>
      <c r="L12" s="14" t="s">
        <v>6</v>
      </c>
      <c r="M12" s="14" t="s">
        <v>15</v>
      </c>
      <c r="N12" s="17"/>
      <c r="O12" s="31" t="str">
        <f t="shared" si="2"/>
        <v>ELITE GROUP B</v>
      </c>
      <c r="P12" s="14" t="s">
        <v>10</v>
      </c>
      <c r="Q12" s="14" t="s">
        <v>8</v>
      </c>
    </row>
    <row r="13" spans="1:26" ht="15.6" x14ac:dyDescent="0.3">
      <c r="A13" s="9">
        <v>0.71875</v>
      </c>
      <c r="C13" s="31" t="s">
        <v>128</v>
      </c>
      <c r="D13" s="11" t="s">
        <v>16</v>
      </c>
      <c r="E13" s="11" t="s">
        <v>18</v>
      </c>
      <c r="F13" s="17"/>
      <c r="G13" s="31" t="str">
        <f t="shared" si="3"/>
        <v>DIV 1 GRUOP A</v>
      </c>
      <c r="H13" s="11" t="s">
        <v>23</v>
      </c>
      <c r="I13" s="11" t="s">
        <v>21</v>
      </c>
      <c r="J13" s="17"/>
      <c r="K13" s="31" t="s">
        <v>132</v>
      </c>
      <c r="L13" s="12" t="s">
        <v>54</v>
      </c>
      <c r="M13" s="12" t="s">
        <v>58</v>
      </c>
      <c r="N13" s="17"/>
      <c r="O13" s="31" t="str">
        <f t="shared" si="2"/>
        <v>DIV 1 GRUOP B</v>
      </c>
      <c r="P13" s="12" t="s">
        <v>56</v>
      </c>
      <c r="Q13" s="12" t="s">
        <v>60</v>
      </c>
      <c r="V13" s="2"/>
    </row>
    <row r="14" spans="1:26" ht="15.6" x14ac:dyDescent="0.3">
      <c r="A14" s="9">
        <v>0.76041666666666663</v>
      </c>
      <c r="D14" s="42" t="s">
        <v>136</v>
      </c>
      <c r="E14" s="42"/>
      <c r="F14" s="42"/>
      <c r="G14" s="42"/>
      <c r="H14" s="42"/>
      <c r="I14" s="42"/>
      <c r="L14" s="42" t="s">
        <v>136</v>
      </c>
      <c r="M14" s="42"/>
      <c r="N14" s="42"/>
      <c r="O14" s="42"/>
      <c r="P14" s="42"/>
      <c r="Q14" s="42"/>
    </row>
    <row r="15" spans="1:26" x14ac:dyDescent="0.3">
      <c r="V15" s="22"/>
    </row>
    <row r="16" spans="1:26" ht="15.6" x14ac:dyDescent="0.3">
      <c r="A16" s="9" t="s">
        <v>137</v>
      </c>
      <c r="D16" s="40" t="s">
        <v>123</v>
      </c>
      <c r="E16" s="41"/>
      <c r="H16" s="40" t="s">
        <v>124</v>
      </c>
      <c r="I16" s="41"/>
      <c r="L16" s="40" t="str">
        <f>L1</f>
        <v>Scandic</v>
      </c>
      <c r="M16" s="41"/>
      <c r="P16" s="40" t="str">
        <f>P1</f>
        <v>Wallners</v>
      </c>
      <c r="Q16" s="41"/>
      <c r="V16" s="2"/>
    </row>
    <row r="17" spans="1:26" ht="15.6" x14ac:dyDescent="0.3">
      <c r="A17" s="9">
        <v>0.375</v>
      </c>
      <c r="C17" s="31" t="s">
        <v>138</v>
      </c>
      <c r="D17" s="27" t="s">
        <v>93</v>
      </c>
      <c r="E17" s="27" t="s">
        <v>70</v>
      </c>
      <c r="F17" s="17"/>
      <c r="G17" s="31" t="s">
        <v>139</v>
      </c>
      <c r="H17" s="27" t="s">
        <v>91</v>
      </c>
      <c r="I17" s="27" t="s">
        <v>81</v>
      </c>
      <c r="J17" s="17"/>
      <c r="K17" s="32" t="s">
        <v>140</v>
      </c>
      <c r="L17" s="29" t="s">
        <v>89</v>
      </c>
      <c r="M17" s="29" t="s">
        <v>91</v>
      </c>
      <c r="O17" s="31" t="s">
        <v>141</v>
      </c>
      <c r="P17" s="29" t="s">
        <v>95</v>
      </c>
      <c r="Q17" s="29" t="s">
        <v>93</v>
      </c>
    </row>
    <row r="18" spans="1:26" ht="15.6" x14ac:dyDescent="0.3">
      <c r="A18" s="9">
        <v>0.40625</v>
      </c>
      <c r="C18" s="31" t="s">
        <v>142</v>
      </c>
      <c r="D18" s="30" t="s">
        <v>69</v>
      </c>
      <c r="E18" s="30" t="s">
        <v>70</v>
      </c>
      <c r="F18" s="17"/>
      <c r="G18" s="32" t="s">
        <v>143</v>
      </c>
      <c r="H18" s="30" t="s">
        <v>80</v>
      </c>
      <c r="I18" s="30" t="s">
        <v>81</v>
      </c>
      <c r="J18" s="17"/>
      <c r="K18" s="32" t="s">
        <v>144</v>
      </c>
      <c r="L18" s="28" t="s">
        <v>69</v>
      </c>
      <c r="M18" s="28" t="s">
        <v>112</v>
      </c>
      <c r="N18" s="17"/>
      <c r="O18" s="32" t="s">
        <v>145</v>
      </c>
      <c r="P18" s="28" t="s">
        <v>80</v>
      </c>
      <c r="Q18" s="28" t="s">
        <v>113</v>
      </c>
      <c r="V18" s="2"/>
    </row>
    <row r="19" spans="1:26" ht="15.6" x14ac:dyDescent="0.3">
      <c r="A19" s="9">
        <v>0.4375</v>
      </c>
      <c r="C19" s="31" t="s">
        <v>146</v>
      </c>
      <c r="D19" s="29" t="s">
        <v>69</v>
      </c>
      <c r="E19" s="29" t="s">
        <v>70</v>
      </c>
      <c r="F19" s="17"/>
      <c r="G19" s="32" t="s">
        <v>147</v>
      </c>
      <c r="H19" s="27" t="s">
        <v>86</v>
      </c>
      <c r="I19" s="27" t="s">
        <v>87</v>
      </c>
      <c r="J19" s="17"/>
      <c r="K19" s="32" t="s">
        <v>148</v>
      </c>
      <c r="L19" s="30" t="s">
        <v>89</v>
      </c>
      <c r="M19" s="30" t="s">
        <v>91</v>
      </c>
      <c r="N19" s="17"/>
      <c r="O19" s="32" t="s">
        <v>149</v>
      </c>
      <c r="P19" s="30" t="s">
        <v>91</v>
      </c>
      <c r="Q19" s="30" t="s">
        <v>70</v>
      </c>
      <c r="V19" s="2"/>
    </row>
    <row r="20" spans="1:26" ht="15.6" x14ac:dyDescent="0.3">
      <c r="A20" s="9">
        <v>0.46875</v>
      </c>
      <c r="C20" s="31" t="s">
        <v>150</v>
      </c>
      <c r="D20" s="28" t="s">
        <v>86</v>
      </c>
      <c r="E20" s="28" t="s">
        <v>87</v>
      </c>
      <c r="F20" s="17"/>
      <c r="G20" s="32" t="s">
        <v>151</v>
      </c>
      <c r="H20" s="29" t="s">
        <v>80</v>
      </c>
      <c r="I20" s="29" t="s">
        <v>81</v>
      </c>
      <c r="J20" s="17"/>
      <c r="K20" s="32"/>
      <c r="L20" s="42" t="s">
        <v>135</v>
      </c>
      <c r="M20" s="42"/>
      <c r="N20" s="42"/>
      <c r="O20" s="42"/>
      <c r="P20" s="42"/>
      <c r="Q20" s="42"/>
      <c r="V20" s="2"/>
    </row>
    <row r="21" spans="1:26" ht="15.6" x14ac:dyDescent="0.3">
      <c r="A21" s="9">
        <v>0.5</v>
      </c>
      <c r="D21" s="42" t="s">
        <v>135</v>
      </c>
      <c r="E21" s="42"/>
      <c r="F21" s="42"/>
      <c r="G21" s="42"/>
      <c r="H21" s="42"/>
      <c r="I21" s="42"/>
      <c r="J21" s="17"/>
      <c r="K21" s="32" t="s">
        <v>152</v>
      </c>
      <c r="L21" s="27" t="s">
        <v>87</v>
      </c>
      <c r="M21" s="27" t="s">
        <v>119</v>
      </c>
      <c r="O21" s="31" t="s">
        <v>153</v>
      </c>
      <c r="P21" s="29" t="s">
        <v>98</v>
      </c>
      <c r="Q21" s="29" t="s">
        <v>99</v>
      </c>
      <c r="V21" s="2"/>
      <c r="Z21" s="2"/>
    </row>
    <row r="22" spans="1:26" ht="15.6" x14ac:dyDescent="0.3">
      <c r="A22" s="9">
        <v>0.53125</v>
      </c>
      <c r="C22" s="31" t="s">
        <v>154</v>
      </c>
      <c r="D22" s="30" t="s">
        <v>98</v>
      </c>
      <c r="E22" s="30" t="s">
        <v>99</v>
      </c>
      <c r="G22" s="31" t="s">
        <v>143</v>
      </c>
      <c r="H22" s="30" t="s">
        <v>104</v>
      </c>
      <c r="I22" s="30" t="s">
        <v>105</v>
      </c>
      <c r="J22" s="17"/>
      <c r="K22" s="32" t="s">
        <v>155</v>
      </c>
      <c r="L22" s="30" t="s">
        <v>83</v>
      </c>
      <c r="M22" s="30" t="s">
        <v>84</v>
      </c>
      <c r="N22" s="17"/>
      <c r="O22" s="31" t="s">
        <v>156</v>
      </c>
      <c r="P22" s="29" t="s">
        <v>104</v>
      </c>
      <c r="Q22" s="29" t="s">
        <v>105</v>
      </c>
      <c r="Z22" s="2"/>
    </row>
    <row r="23" spans="1:26" ht="15.6" x14ac:dyDescent="0.3">
      <c r="A23" s="9">
        <v>0.5625</v>
      </c>
      <c r="C23" s="31" t="s">
        <v>157</v>
      </c>
      <c r="D23" s="29" t="s">
        <v>72</v>
      </c>
      <c r="E23" s="29" t="s">
        <v>73</v>
      </c>
      <c r="F23" s="17"/>
      <c r="G23" s="32" t="s">
        <v>158</v>
      </c>
      <c r="H23" s="29" t="s">
        <v>83</v>
      </c>
      <c r="I23" s="29" t="s">
        <v>84</v>
      </c>
      <c r="J23" s="17"/>
      <c r="K23" s="32" t="s">
        <v>159</v>
      </c>
      <c r="L23" s="27" t="s">
        <v>119</v>
      </c>
      <c r="M23" s="27" t="s">
        <v>86</v>
      </c>
      <c r="N23" s="17"/>
      <c r="O23" s="32" t="s">
        <v>155</v>
      </c>
      <c r="P23" s="30" t="s">
        <v>72</v>
      </c>
      <c r="Q23" s="30" t="s">
        <v>73</v>
      </c>
      <c r="V23" s="2"/>
    </row>
    <row r="24" spans="1:26" ht="15.6" x14ac:dyDescent="0.3">
      <c r="A24" s="9">
        <v>0.59375</v>
      </c>
      <c r="C24" s="31" t="s">
        <v>160</v>
      </c>
      <c r="D24" s="28" t="s">
        <v>75</v>
      </c>
      <c r="E24" s="28" t="s">
        <v>76</v>
      </c>
      <c r="F24" s="17"/>
      <c r="G24" s="32" t="s">
        <v>161</v>
      </c>
      <c r="H24" s="27" t="s">
        <v>75</v>
      </c>
      <c r="I24" s="27" t="s">
        <v>76</v>
      </c>
      <c r="J24" s="17"/>
      <c r="K24" s="32" t="s">
        <v>162</v>
      </c>
      <c r="L24" s="29" t="s">
        <v>107</v>
      </c>
      <c r="M24" s="29" t="s">
        <v>108</v>
      </c>
      <c r="N24" s="17"/>
      <c r="O24" s="32" t="s">
        <v>163</v>
      </c>
      <c r="P24" s="29" t="s">
        <v>101</v>
      </c>
      <c r="Q24" s="29" t="s">
        <v>102</v>
      </c>
      <c r="V24" s="2"/>
    </row>
    <row r="25" spans="1:26" ht="15.6" x14ac:dyDescent="0.3">
      <c r="A25" s="9">
        <v>0.63541666666666663</v>
      </c>
      <c r="C25" s="31" t="s">
        <v>164</v>
      </c>
      <c r="D25" s="30" t="s">
        <v>75</v>
      </c>
      <c r="E25" s="30" t="s">
        <v>76</v>
      </c>
      <c r="F25" s="17"/>
      <c r="G25" s="32" t="s">
        <v>165</v>
      </c>
      <c r="H25" s="30" t="s">
        <v>86</v>
      </c>
      <c r="I25" s="30" t="s">
        <v>87</v>
      </c>
      <c r="J25" s="17"/>
      <c r="K25" s="32" t="s">
        <v>166</v>
      </c>
      <c r="L25" s="30" t="s">
        <v>101</v>
      </c>
      <c r="M25" s="30" t="s">
        <v>102</v>
      </c>
      <c r="N25" s="17"/>
      <c r="O25" s="32" t="s">
        <v>167</v>
      </c>
      <c r="P25" s="30" t="s">
        <v>107</v>
      </c>
      <c r="Q25" s="30" t="s">
        <v>108</v>
      </c>
    </row>
    <row r="26" spans="1:26" ht="15.6" x14ac:dyDescent="0.3">
      <c r="A26" s="9">
        <v>0.67708333333333337</v>
      </c>
      <c r="C26" s="31" t="s">
        <v>168</v>
      </c>
      <c r="D26" s="29" t="s">
        <v>75</v>
      </c>
      <c r="E26" s="29" t="s">
        <v>76</v>
      </c>
      <c r="F26" s="17"/>
      <c r="G26" s="32" t="s">
        <v>169</v>
      </c>
      <c r="H26" s="29" t="s">
        <v>86</v>
      </c>
      <c r="I26" s="29" t="s">
        <v>87</v>
      </c>
      <c r="J26" s="17"/>
      <c r="K26" s="32"/>
      <c r="L26" s="17"/>
      <c r="M26" s="17"/>
      <c r="N26" s="17"/>
      <c r="O26" s="32"/>
      <c r="P26" s="17"/>
      <c r="Q26" s="17"/>
      <c r="V26" s="2"/>
    </row>
    <row r="27" spans="1:26" ht="15.6" x14ac:dyDescent="0.3">
      <c r="A27" s="9">
        <v>0.71875</v>
      </c>
      <c r="V27" s="2"/>
    </row>
    <row r="28" spans="1:26" x14ac:dyDescent="0.3">
      <c r="V28" s="2"/>
    </row>
    <row r="30" spans="1:26" x14ac:dyDescent="0.3">
      <c r="V30" s="22"/>
    </row>
    <row r="31" spans="1:26" x14ac:dyDescent="0.3">
      <c r="V31" s="2"/>
    </row>
    <row r="32" spans="1:26" x14ac:dyDescent="0.3">
      <c r="M32" s="17"/>
      <c r="N32" s="17"/>
      <c r="O32" s="32"/>
    </row>
    <row r="34" spans="22:22" x14ac:dyDescent="0.3">
      <c r="V34" s="2"/>
    </row>
    <row r="35" spans="22:22" x14ac:dyDescent="0.3">
      <c r="V35" s="2"/>
    </row>
    <row r="37" spans="22:22" x14ac:dyDescent="0.3">
      <c r="V37" s="2"/>
    </row>
    <row r="38" spans="22:22" x14ac:dyDescent="0.3">
      <c r="V38" s="2"/>
    </row>
    <row r="40" spans="22:22" x14ac:dyDescent="0.3">
      <c r="V40" s="2"/>
    </row>
    <row r="41" spans="22:22" x14ac:dyDescent="0.3">
      <c r="V41" s="2"/>
    </row>
    <row r="43" spans="22:22" x14ac:dyDescent="0.3">
      <c r="V43" s="2"/>
    </row>
    <row r="44" spans="22:22" x14ac:dyDescent="0.3">
      <c r="V44" s="2"/>
    </row>
    <row r="45" spans="22:22" x14ac:dyDescent="0.3">
      <c r="V45" s="2"/>
    </row>
    <row r="46" spans="22:22" x14ac:dyDescent="0.3">
      <c r="V46" s="2"/>
    </row>
    <row r="47" spans="22:22" x14ac:dyDescent="0.3">
      <c r="V47" s="2"/>
    </row>
    <row r="48" spans="22:22" x14ac:dyDescent="0.3">
      <c r="V48" s="2"/>
    </row>
  </sheetData>
  <sheetProtection sheet="1" objects="1" scenarios="1"/>
  <mergeCells count="15">
    <mergeCell ref="D21:I21"/>
    <mergeCell ref="L20:Q20"/>
    <mergeCell ref="L6:Q6"/>
    <mergeCell ref="D7:I7"/>
    <mergeCell ref="D14:I14"/>
    <mergeCell ref="D16:E16"/>
    <mergeCell ref="L14:Q14"/>
    <mergeCell ref="H16:I16"/>
    <mergeCell ref="L16:M16"/>
    <mergeCell ref="P16:Q16"/>
    <mergeCell ref="D1:E1"/>
    <mergeCell ref="H1:I1"/>
    <mergeCell ref="L1:M1"/>
    <mergeCell ref="P1:Q1"/>
    <mergeCell ref="B2:R2"/>
  </mergeCells>
  <phoneticPr fontId="3" type="noConversion"/>
  <pageMargins left="0.7" right="0.7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37E9-12E1-4306-90C5-BF72BB047219}">
  <dimension ref="A1:BC48"/>
  <sheetViews>
    <sheetView zoomScaleNormal="100" workbookViewId="0">
      <selection activeCell="B1" sqref="B1"/>
    </sheetView>
  </sheetViews>
  <sheetFormatPr defaultRowHeight="14.4" x14ac:dyDescent="0.3"/>
  <cols>
    <col min="1" max="1" width="6.109375" bestFit="1" customWidth="1"/>
    <col min="2" max="2" width="2" bestFit="1" customWidth="1"/>
    <col min="3" max="3" width="18.109375" bestFit="1" customWidth="1"/>
    <col min="4" max="4" width="11.33203125" bestFit="1" customWidth="1"/>
    <col min="5" max="5" width="17.6640625" bestFit="1" customWidth="1"/>
    <col min="6" max="6" width="18.109375" style="10" bestFit="1" customWidth="1"/>
    <col min="7" max="7" width="16.88671875" style="10" bestFit="1" customWidth="1"/>
    <col min="8" max="8" width="14.5546875" bestFit="1" customWidth="1"/>
    <col min="9" max="9" width="13.44140625" bestFit="1" customWidth="1"/>
    <col min="10" max="10" width="15.88671875" bestFit="1" customWidth="1"/>
    <col min="11" max="11" width="17.6640625" bestFit="1" customWidth="1"/>
    <col min="12" max="12" width="18.109375" style="10" bestFit="1" customWidth="1"/>
    <col min="13" max="13" width="15.88671875" style="10" bestFit="1" customWidth="1"/>
    <col min="14" max="14" width="12.109375" bestFit="1" customWidth="1"/>
    <col min="15" max="15" width="13.44140625" bestFit="1" customWidth="1"/>
    <col min="16" max="16" width="11.33203125" bestFit="1" customWidth="1"/>
    <col min="17" max="17" width="15.88671875" bestFit="1" customWidth="1"/>
    <col min="18" max="19" width="18.109375" style="10" bestFit="1" customWidth="1"/>
    <col min="21" max="21" width="13.44140625" bestFit="1" customWidth="1"/>
    <col min="22" max="22" width="17.44140625" bestFit="1" customWidth="1"/>
    <col min="23" max="23" width="17.6640625" bestFit="1" customWidth="1"/>
    <col min="24" max="25" width="16.88671875" style="10" bestFit="1" customWidth="1"/>
    <col min="26" max="26" width="18.109375" bestFit="1" customWidth="1"/>
    <col min="27" max="27" width="15.5546875" bestFit="1" customWidth="1"/>
    <col min="28" max="28" width="18.109375" bestFit="1" customWidth="1"/>
    <col min="29" max="29" width="15.88671875" bestFit="1" customWidth="1"/>
    <col min="30" max="31" width="18.109375" bestFit="1" customWidth="1"/>
    <col min="32" max="33" width="16.88671875" bestFit="1" customWidth="1"/>
    <col min="34" max="37" width="18.109375" hidden="1" customWidth="1"/>
    <col min="38" max="38" width="15.88671875" hidden="1" customWidth="1"/>
    <col min="39" max="39" width="15.88671875" customWidth="1"/>
    <col min="40" max="42" width="15.88671875" bestFit="1" customWidth="1"/>
    <col min="43" max="44" width="14.5546875" bestFit="1" customWidth="1"/>
    <col min="45" max="46" width="15.88671875" bestFit="1" customWidth="1"/>
    <col min="47" max="47" width="13.109375" bestFit="1" customWidth="1"/>
    <col min="48" max="48" width="11.88671875" bestFit="1" customWidth="1"/>
    <col min="49" max="49" width="13.88671875" bestFit="1" customWidth="1"/>
    <col min="50" max="50" width="14.88671875" bestFit="1" customWidth="1"/>
  </cols>
  <sheetData>
    <row r="1" spans="1:55" ht="15.6" x14ac:dyDescent="0.3">
      <c r="A1" s="1" t="s">
        <v>122</v>
      </c>
      <c r="C1" s="31"/>
      <c r="D1" s="40" t="s">
        <v>123</v>
      </c>
      <c r="E1" s="41"/>
      <c r="F1" s="10" t="s">
        <v>170</v>
      </c>
      <c r="G1" s="10" t="s">
        <v>171</v>
      </c>
      <c r="I1" s="31"/>
      <c r="J1" s="40" t="s">
        <v>124</v>
      </c>
      <c r="K1" s="41"/>
      <c r="L1" s="10" t="s">
        <v>170</v>
      </c>
      <c r="M1" s="10" t="s">
        <v>171</v>
      </c>
      <c r="O1" s="31"/>
      <c r="P1" s="40" t="s">
        <v>125</v>
      </c>
      <c r="Q1" s="41"/>
      <c r="R1" s="10" t="s">
        <v>170</v>
      </c>
      <c r="S1" s="10" t="s">
        <v>171</v>
      </c>
      <c r="U1" s="31"/>
      <c r="V1" s="40" t="s">
        <v>126</v>
      </c>
      <c r="W1" s="41"/>
      <c r="X1" s="10" t="s">
        <v>170</v>
      </c>
      <c r="Y1" s="10" t="s">
        <v>171</v>
      </c>
    </row>
    <row r="2" spans="1:55" ht="15.6" x14ac:dyDescent="0.3">
      <c r="A2" s="9">
        <v>0.36458333333333331</v>
      </c>
      <c r="B2" s="43" t="s">
        <v>127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35"/>
      <c r="O2" s="43" t="s">
        <v>127</v>
      </c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55" ht="15.6" x14ac:dyDescent="0.3">
      <c r="A3" s="9">
        <v>0.40625</v>
      </c>
      <c r="B3">
        <f>COUNTIF(_xlfn.ANCHORARRAY(Z3),0)</f>
        <v>0</v>
      </c>
      <c r="C3" s="31" t="s">
        <v>128</v>
      </c>
      <c r="D3" s="11" t="s">
        <v>18</v>
      </c>
      <c r="E3" s="11" t="s">
        <v>21</v>
      </c>
      <c r="F3" s="17" t="s">
        <v>172</v>
      </c>
      <c r="G3" s="17" t="s">
        <v>173</v>
      </c>
      <c r="H3" s="17"/>
      <c r="I3" s="31" t="str">
        <f>C3</f>
        <v>DIV 1 GRUOP A</v>
      </c>
      <c r="J3" s="11" t="s">
        <v>26</v>
      </c>
      <c r="K3" s="11" t="s">
        <v>23</v>
      </c>
      <c r="L3" s="17" t="s">
        <v>174</v>
      </c>
      <c r="M3" s="17" t="s">
        <v>175</v>
      </c>
      <c r="N3" s="17"/>
      <c r="O3" s="31" t="s">
        <v>129</v>
      </c>
      <c r="P3" s="18" t="s">
        <v>6</v>
      </c>
      <c r="Q3" s="18" t="s">
        <v>8</v>
      </c>
      <c r="R3" s="17" t="s">
        <v>176</v>
      </c>
      <c r="S3" s="17" t="s">
        <v>177</v>
      </c>
      <c r="T3" s="17"/>
      <c r="U3" s="31" t="str">
        <f>O3</f>
        <v>ELITE GROUP B</v>
      </c>
      <c r="V3" s="18" t="s">
        <v>10</v>
      </c>
      <c r="W3" s="18" t="s">
        <v>15</v>
      </c>
      <c r="X3" s="10" t="s">
        <v>178</v>
      </c>
      <c r="Y3" s="10" t="s">
        <v>179</v>
      </c>
      <c r="Z3" t="str" cm="1">
        <f t="array" ref="Z3:AG3">_xlfn.HSTACK(F3:G3,L3:M3,R3:S3,X3:Y3)</f>
        <v>Espen Hoff</v>
      </c>
      <c r="AA3" t="str">
        <v>Magnus Undén</v>
      </c>
      <c r="AB3" t="str">
        <v>Mats Fernlund</v>
      </c>
      <c r="AC3" t="str">
        <v>Reine Schröder</v>
      </c>
      <c r="AD3" t="str">
        <v>Kristoffer Stormark</v>
      </c>
      <c r="AE3" t="str">
        <v>Jörgen Johannsen</v>
      </c>
      <c r="AF3" t="str">
        <v>Håkan Elveljung</v>
      </c>
      <c r="AG3" t="str">
        <v>Jonas Örevik</v>
      </c>
      <c r="AN3" t="str" cm="1">
        <f t="array" ref="AN3:AU3">TRANSPOSE(_xlfn._xlws.FILTER($C$32:$C$47,COUNTIF(_xlfn.ANCHORARRAY(Z3),$C$32:$C$47)=0))</f>
        <v>Jim A.Nymoen</v>
      </c>
      <c r="AO3" t="str">
        <v>Andreas Sjöberg</v>
      </c>
      <c r="AP3" t="str">
        <v>Inge Haukom</v>
      </c>
      <c r="AQ3" t="str">
        <v>Oliver Parment</v>
      </c>
      <c r="AR3" t="str">
        <v>Thomas Karlsson</v>
      </c>
      <c r="AS3" t="str">
        <v>EMPTY</v>
      </c>
      <c r="AT3" t="str">
        <v>Elias Parment</v>
      </c>
      <c r="AU3" t="str">
        <v>SJUK (RM)</v>
      </c>
    </row>
    <row r="4" spans="1:55" ht="15.6" x14ac:dyDescent="0.3">
      <c r="A4" s="9">
        <v>0.4375</v>
      </c>
      <c r="B4">
        <f t="shared" ref="B4:B12" si="0">COUNTIF(_xlfn.ANCHORARRAY(Z4),0)</f>
        <v>0</v>
      </c>
      <c r="C4" s="31" t="s">
        <v>130</v>
      </c>
      <c r="D4" s="19" t="s">
        <v>5</v>
      </c>
      <c r="E4" s="19" t="s">
        <v>78</v>
      </c>
      <c r="F4" s="17" t="s">
        <v>172</v>
      </c>
      <c r="G4" s="17" t="s">
        <v>173</v>
      </c>
      <c r="H4" s="17"/>
      <c r="I4" s="31" t="str">
        <f>C4</f>
        <v>ELITE GROUP A</v>
      </c>
      <c r="J4" s="19" t="s">
        <v>9</v>
      </c>
      <c r="K4" s="19" t="s">
        <v>4</v>
      </c>
      <c r="L4" s="17" t="s">
        <v>176</v>
      </c>
      <c r="M4" s="17" t="s">
        <v>175</v>
      </c>
      <c r="N4" s="17"/>
      <c r="O4" s="31" t="s">
        <v>131</v>
      </c>
      <c r="P4" s="20" t="s">
        <v>38</v>
      </c>
      <c r="Q4" s="20" t="s">
        <v>43</v>
      </c>
      <c r="R4" s="10" t="s">
        <v>180</v>
      </c>
      <c r="S4" s="10" t="s">
        <v>181</v>
      </c>
      <c r="T4" s="17"/>
      <c r="U4" s="31" t="str">
        <f t="shared" ref="U4:U5" si="1">O4</f>
        <v>MAJOR GROUP B</v>
      </c>
      <c r="V4" s="20" t="s">
        <v>41</v>
      </c>
      <c r="W4" s="20" t="s">
        <v>45</v>
      </c>
      <c r="X4" s="10" t="s">
        <v>182</v>
      </c>
      <c r="Y4" s="10" t="s">
        <v>183</v>
      </c>
      <c r="Z4" t="str" cm="1">
        <f t="array" ref="Z4:AG4">_xlfn.HSTACK(F4:G4,L4:M4,R4:S4,X4:Y4)</f>
        <v>Espen Hoff</v>
      </c>
      <c r="AA4" t="str">
        <v>Magnus Undén</v>
      </c>
      <c r="AB4" t="str">
        <v>Kristoffer Stormark</v>
      </c>
      <c r="AC4" t="str">
        <v>Reine Schröder</v>
      </c>
      <c r="AD4" t="str">
        <v>Andreas Sjöberg</v>
      </c>
      <c r="AE4" t="str">
        <v>Inge Haukom</v>
      </c>
      <c r="AF4" t="str">
        <v>Oliver Parment</v>
      </c>
      <c r="AG4" t="str">
        <v>Elias Parment</v>
      </c>
      <c r="AN4" t="str" cm="1">
        <f t="array" ref="AN4:AU4">TRANSPOSE(_xlfn._xlws.FILTER($C$32:$C$47,COUNTIF(_xlfn.ANCHORARRAY(Z4),$C$32:$C$47)=0))</f>
        <v>Jim A.Nymoen</v>
      </c>
      <c r="AO4" t="str">
        <v>Jörgen Johannsen</v>
      </c>
      <c r="AP4" t="str">
        <v>Jonas Örevik</v>
      </c>
      <c r="AQ4" t="str">
        <v>Håkan Elveljung</v>
      </c>
      <c r="AR4" t="str">
        <v>Thomas Karlsson</v>
      </c>
      <c r="AS4" t="str">
        <v>EMPTY</v>
      </c>
      <c r="AT4" t="str">
        <v>SJUK (RM)</v>
      </c>
      <c r="AU4" t="str">
        <v>Mats Fernlund</v>
      </c>
    </row>
    <row r="5" spans="1:55" ht="15.6" x14ac:dyDescent="0.3">
      <c r="A5" s="9">
        <v>0.46875</v>
      </c>
      <c r="B5">
        <f t="shared" si="0"/>
        <v>0</v>
      </c>
      <c r="C5" s="31" t="s">
        <v>128</v>
      </c>
      <c r="D5" s="11" t="s">
        <v>16</v>
      </c>
      <c r="E5" s="11" t="s">
        <v>23</v>
      </c>
      <c r="F5" s="17" t="s">
        <v>174</v>
      </c>
      <c r="G5" s="17" t="s">
        <v>173</v>
      </c>
      <c r="H5" s="17"/>
      <c r="I5" s="31" t="str">
        <f>C5</f>
        <v>DIV 1 GRUOP A</v>
      </c>
      <c r="J5" s="11" t="s">
        <v>21</v>
      </c>
      <c r="K5" s="11" t="s">
        <v>26</v>
      </c>
      <c r="L5" s="17" t="s">
        <v>184</v>
      </c>
      <c r="M5" s="17" t="s">
        <v>175</v>
      </c>
      <c r="N5" s="17"/>
      <c r="O5" s="31" t="s">
        <v>132</v>
      </c>
      <c r="P5" s="12" t="s">
        <v>54</v>
      </c>
      <c r="Q5" s="12" t="s">
        <v>60</v>
      </c>
      <c r="R5" s="17" t="s">
        <v>180</v>
      </c>
      <c r="S5" s="10" t="s">
        <v>181</v>
      </c>
      <c r="T5" s="17"/>
      <c r="U5" s="31" t="str">
        <f t="shared" si="1"/>
        <v>DIV 1 GRUOP B</v>
      </c>
      <c r="V5" s="12" t="s">
        <v>56</v>
      </c>
      <c r="W5" s="12" t="s">
        <v>58</v>
      </c>
      <c r="X5" s="17" t="s">
        <v>185</v>
      </c>
      <c r="Y5" s="10" t="s">
        <v>179</v>
      </c>
      <c r="Z5" t="str" cm="1">
        <f t="array" ref="Z5:AG5">_xlfn.HSTACK(F5:G5,L5:M5,R5:S5,X5:Y5)</f>
        <v>Mats Fernlund</v>
      </c>
      <c r="AA5" t="str">
        <v>Magnus Undén</v>
      </c>
      <c r="AB5" t="str">
        <v>Jim A.Nymoen</v>
      </c>
      <c r="AC5" t="str">
        <v>Reine Schröder</v>
      </c>
      <c r="AD5" t="str">
        <v>Andreas Sjöberg</v>
      </c>
      <c r="AE5" t="str">
        <v>Inge Haukom</v>
      </c>
      <c r="AF5" t="str">
        <v>Håkan Norberg</v>
      </c>
      <c r="AG5" t="str">
        <v>Jonas Örevik</v>
      </c>
      <c r="AN5" t="str" cm="1">
        <f t="array" ref="AN5:AV5">TRANSPOSE(_xlfn._xlws.FILTER($C$32:$C$47,COUNTIF(_xlfn.ANCHORARRAY(Z5),$C$32:$C$47)=0))</f>
        <v>Espen Hoff</v>
      </c>
      <c r="AO5" t="str">
        <v>Jörgen Johannsen</v>
      </c>
      <c r="AP5" t="str">
        <v>Kristoffer Stormark</v>
      </c>
      <c r="AQ5" t="str">
        <v>Håkan Elveljung</v>
      </c>
      <c r="AR5" t="str">
        <v>Oliver Parment</v>
      </c>
      <c r="AS5" t="str">
        <v>Thomas Karlsson</v>
      </c>
      <c r="AT5" t="str">
        <v>EMPTY</v>
      </c>
      <c r="AU5" t="str">
        <v>Elias Parment</v>
      </c>
      <c r="AV5" t="str">
        <v>SJUK (RM)</v>
      </c>
    </row>
    <row r="6" spans="1:55" ht="15.6" x14ac:dyDescent="0.3">
      <c r="A6" s="9">
        <v>0.5</v>
      </c>
      <c r="B6">
        <f>COUNTIF(_xlfn.ANCHORARRAY(Z6),0)-4</f>
        <v>0</v>
      </c>
      <c r="C6" s="31" t="s">
        <v>133</v>
      </c>
      <c r="D6" s="21" t="s">
        <v>37</v>
      </c>
      <c r="E6" s="21" t="s">
        <v>134</v>
      </c>
      <c r="F6" s="17" t="s">
        <v>184</v>
      </c>
      <c r="G6" s="17" t="s">
        <v>173</v>
      </c>
      <c r="H6" s="17"/>
      <c r="I6" s="31" t="str">
        <f>C6</f>
        <v>MAJOR GROUP A</v>
      </c>
      <c r="J6" s="21" t="s">
        <v>40</v>
      </c>
      <c r="K6" s="21" t="s">
        <v>44</v>
      </c>
      <c r="L6" s="17" t="s">
        <v>172</v>
      </c>
      <c r="M6" s="17" t="s">
        <v>175</v>
      </c>
      <c r="N6" s="17"/>
      <c r="O6" s="32"/>
      <c r="P6" s="42" t="s">
        <v>135</v>
      </c>
      <c r="Q6" s="42"/>
      <c r="R6" s="42"/>
      <c r="S6" s="42"/>
      <c r="T6" s="42"/>
      <c r="U6" s="42"/>
      <c r="V6" s="42"/>
      <c r="W6" s="42"/>
      <c r="Z6" t="str" cm="1">
        <f t="array" ref="Z6:AG6">_xlfn.HSTACK(F6:G6,L6:M6,R6:S6,X6:Y6)</f>
        <v>Jim A.Nymoen</v>
      </c>
      <c r="AA6" t="str">
        <v>Magnus Undén</v>
      </c>
      <c r="AB6" t="str">
        <v>Espen Hoff</v>
      </c>
      <c r="AC6" t="str">
        <v>Reine Schröder</v>
      </c>
      <c r="AD6">
        <v>0</v>
      </c>
      <c r="AE6">
        <v>0</v>
      </c>
      <c r="AF6">
        <v>0</v>
      </c>
      <c r="AG6">
        <v>0</v>
      </c>
      <c r="AN6" t="str" cm="1">
        <f t="array" ref="AN6:AY6">TRANSPOSE(_xlfn._xlws.FILTER($C$32:$C$47,COUNTIF(_xlfn.ANCHORARRAY(Z6),$C$32:$C$47)=0))</f>
        <v>Jörgen Johannsen</v>
      </c>
      <c r="AO6" t="str">
        <v>Kristoffer Stormark</v>
      </c>
      <c r="AP6" t="str">
        <v>Jonas Örevik</v>
      </c>
      <c r="AQ6" t="str">
        <v>Håkan Elveljung</v>
      </c>
      <c r="AR6" t="str">
        <v>Andreas Sjöberg</v>
      </c>
      <c r="AS6" t="str">
        <v>Inge Haukom</v>
      </c>
      <c r="AT6" t="str">
        <v>Oliver Parment</v>
      </c>
      <c r="AU6" t="str">
        <v>Thomas Karlsson</v>
      </c>
      <c r="AV6" t="str">
        <v>EMPTY</v>
      </c>
      <c r="AW6" t="str">
        <v>Elias Parment</v>
      </c>
      <c r="AX6" t="str">
        <v>SJUK (RM)</v>
      </c>
      <c r="AY6" t="str">
        <v>Mats Fernlund</v>
      </c>
    </row>
    <row r="7" spans="1:55" ht="15.6" x14ac:dyDescent="0.3">
      <c r="A7" s="9">
        <v>0.53125</v>
      </c>
      <c r="B7">
        <f>COUNTIF(_xlfn.ANCHORARRAY(Z7),0)-4</f>
        <v>0</v>
      </c>
      <c r="C7" s="31"/>
      <c r="D7" s="42" t="s">
        <v>135</v>
      </c>
      <c r="E7" s="42"/>
      <c r="F7" s="42"/>
      <c r="G7" s="42"/>
      <c r="H7" s="42"/>
      <c r="I7" s="42"/>
      <c r="J7" s="42"/>
      <c r="K7" s="42"/>
      <c r="L7" s="17"/>
      <c r="M7" s="17"/>
      <c r="N7" s="17"/>
      <c r="O7" s="31" t="s">
        <v>130</v>
      </c>
      <c r="P7" s="13" t="s">
        <v>5</v>
      </c>
      <c r="Q7" s="13" t="s">
        <v>9</v>
      </c>
      <c r="R7" s="17" t="s">
        <v>177</v>
      </c>
      <c r="S7" s="17" t="s">
        <v>176</v>
      </c>
      <c r="T7" s="17"/>
      <c r="U7" s="31" t="str">
        <f>O7</f>
        <v>ELITE GROUP A</v>
      </c>
      <c r="V7" s="13" t="s">
        <v>4</v>
      </c>
      <c r="W7" s="13" t="s">
        <v>78</v>
      </c>
      <c r="X7" s="10" t="s">
        <v>181</v>
      </c>
      <c r="Y7" s="10" t="s">
        <v>172</v>
      </c>
      <c r="Z7" cm="1">
        <f t="array" ref="Z7:AG7">_xlfn.HSTACK(F7:G7,L7:M7,R7:S7,X7:Y7)</f>
        <v>0</v>
      </c>
      <c r="AA7">
        <v>0</v>
      </c>
      <c r="AB7">
        <v>0</v>
      </c>
      <c r="AC7">
        <v>0</v>
      </c>
      <c r="AD7" t="str">
        <v>Jörgen Johannsen</v>
      </c>
      <c r="AE7" t="str">
        <v>Kristoffer Stormark</v>
      </c>
      <c r="AF7" t="str">
        <v>Inge Haukom</v>
      </c>
      <c r="AG7" t="str">
        <v>Espen Hoff</v>
      </c>
      <c r="AN7" t="str" cm="1">
        <f t="array" ref="AN7:AY7">TRANSPOSE(_xlfn._xlws.FILTER($C$32:$C$47,COUNTIF(_xlfn.ANCHORARRAY(Z7),$C$32:$C$47)=0))</f>
        <v>Jim A.Nymoen</v>
      </c>
      <c r="AO7" t="str">
        <v>Jonas Örevik</v>
      </c>
      <c r="AP7" t="str">
        <v>Håkan Elveljung</v>
      </c>
      <c r="AQ7" t="str">
        <v>Andreas Sjöberg</v>
      </c>
      <c r="AR7" t="str">
        <v>Magnus Undén</v>
      </c>
      <c r="AS7" t="str">
        <v>Oliver Parment</v>
      </c>
      <c r="AT7" t="str">
        <v>Reine Schröder</v>
      </c>
      <c r="AU7" t="str">
        <v>Thomas Karlsson</v>
      </c>
      <c r="AV7" t="str">
        <v>EMPTY</v>
      </c>
      <c r="AW7" t="str">
        <v>Elias Parment</v>
      </c>
      <c r="AX7" t="str">
        <v>SJUK (RM)</v>
      </c>
      <c r="AY7" t="str">
        <v>Mats Fernlund</v>
      </c>
    </row>
    <row r="8" spans="1:55" ht="15.6" x14ac:dyDescent="0.3">
      <c r="A8" s="9">
        <v>0.5625</v>
      </c>
      <c r="B8">
        <f t="shared" si="0"/>
        <v>0</v>
      </c>
      <c r="C8" s="31" t="s">
        <v>129</v>
      </c>
      <c r="D8" s="14" t="s">
        <v>6</v>
      </c>
      <c r="E8" s="14" t="s">
        <v>10</v>
      </c>
      <c r="F8" s="17" t="s">
        <v>176</v>
      </c>
      <c r="G8" s="17" t="s">
        <v>178</v>
      </c>
      <c r="H8" s="17"/>
      <c r="I8" s="31" t="str">
        <f>C8</f>
        <v>ELITE GROUP B</v>
      </c>
      <c r="J8" s="14" t="s">
        <v>15</v>
      </c>
      <c r="K8" s="14" t="s">
        <v>8</v>
      </c>
      <c r="L8" s="17" t="s">
        <v>179</v>
      </c>
      <c r="M8" s="17" t="s">
        <v>184</v>
      </c>
      <c r="N8" s="17"/>
      <c r="O8" s="31" t="s">
        <v>128</v>
      </c>
      <c r="P8" s="11" t="s">
        <v>16</v>
      </c>
      <c r="Q8" s="11" t="s">
        <v>21</v>
      </c>
      <c r="R8" s="17" t="s">
        <v>186</v>
      </c>
      <c r="S8" s="17" t="s">
        <v>174</v>
      </c>
      <c r="U8" s="31" t="str">
        <f t="shared" ref="U8:U13" si="2">O8</f>
        <v>DIV 1 GRUOP A</v>
      </c>
      <c r="V8" s="11" t="s">
        <v>26</v>
      </c>
      <c r="W8" s="11" t="s">
        <v>18</v>
      </c>
      <c r="X8" s="17" t="s">
        <v>183</v>
      </c>
      <c r="Y8" s="17" t="s">
        <v>180</v>
      </c>
      <c r="Z8" t="str" cm="1">
        <f t="array" ref="Z8:AG8">_xlfn.HSTACK(F8:G8,L8:M8,R8:S8,X8:Y8)</f>
        <v>Kristoffer Stormark</v>
      </c>
      <c r="AA8" t="str">
        <v>Håkan Elveljung</v>
      </c>
      <c r="AB8" t="str">
        <v>Jonas Örevik</v>
      </c>
      <c r="AC8" t="str">
        <v>Jim A.Nymoen</v>
      </c>
      <c r="AD8" t="str">
        <v>Thomas Karlsson</v>
      </c>
      <c r="AE8" t="str">
        <v>Mats Fernlund</v>
      </c>
      <c r="AF8" t="str">
        <v>Elias Parment</v>
      </c>
      <c r="AG8" t="str">
        <v>Andreas Sjöberg</v>
      </c>
      <c r="AN8" t="str" cm="1">
        <f t="array" ref="AN8:AU8">TRANSPOSE(_xlfn._xlws.FILTER($C$32:$C$47,COUNTIF(_xlfn.ANCHORARRAY(Z8),$C$32:$C$47)=0))</f>
        <v>Espen Hoff</v>
      </c>
      <c r="AO8" t="str">
        <v>Jörgen Johannsen</v>
      </c>
      <c r="AP8" t="str">
        <v>Inge Haukom</v>
      </c>
      <c r="AQ8" t="str">
        <v>Magnus Undén</v>
      </c>
      <c r="AR8" t="str">
        <v>Oliver Parment</v>
      </c>
      <c r="AS8" t="str">
        <v>Reine Schröder</v>
      </c>
      <c r="AT8" t="str">
        <v>EMPTY</v>
      </c>
      <c r="AU8" t="str">
        <v>SJUK (RM)</v>
      </c>
    </row>
    <row r="9" spans="1:55" ht="15.6" x14ac:dyDescent="0.3">
      <c r="A9" s="9">
        <v>0.59375</v>
      </c>
      <c r="B9">
        <f t="shared" si="0"/>
        <v>0</v>
      </c>
      <c r="C9" s="31" t="s">
        <v>131</v>
      </c>
      <c r="D9" s="16" t="s">
        <v>38</v>
      </c>
      <c r="E9" s="16" t="s">
        <v>41</v>
      </c>
      <c r="F9" s="17" t="s">
        <v>180</v>
      </c>
      <c r="G9" s="17" t="s">
        <v>182</v>
      </c>
      <c r="H9" s="17"/>
      <c r="I9" s="31" t="str">
        <f t="shared" ref="I9:I13" si="3">C9</f>
        <v>MAJOR GROUP B</v>
      </c>
      <c r="J9" s="16" t="s">
        <v>45</v>
      </c>
      <c r="K9" s="16" t="s">
        <v>43</v>
      </c>
      <c r="L9" s="17" t="s">
        <v>173</v>
      </c>
      <c r="M9" s="17" t="s">
        <v>175</v>
      </c>
      <c r="N9" s="17"/>
      <c r="O9" s="31" t="s">
        <v>133</v>
      </c>
      <c r="P9" s="15" t="s">
        <v>37</v>
      </c>
      <c r="Q9" s="15" t="s">
        <v>40</v>
      </c>
      <c r="R9" s="17" t="s">
        <v>184</v>
      </c>
      <c r="S9" s="17" t="s">
        <v>177</v>
      </c>
      <c r="T9" s="17"/>
      <c r="U9" s="31" t="str">
        <f t="shared" si="2"/>
        <v>MAJOR GROUP A</v>
      </c>
      <c r="V9" s="15" t="s">
        <v>44</v>
      </c>
      <c r="W9" s="15" t="s">
        <v>134</v>
      </c>
      <c r="X9" s="17" t="s">
        <v>183</v>
      </c>
      <c r="Y9" s="17" t="s">
        <v>172</v>
      </c>
      <c r="Z9" t="str" cm="1">
        <f t="array" ref="Z9:AG9">_xlfn.HSTACK(F9:G9,L9:M9,R9:S9,X9:Y9)</f>
        <v>Andreas Sjöberg</v>
      </c>
      <c r="AA9" t="str">
        <v>Oliver Parment</v>
      </c>
      <c r="AB9" t="str">
        <v>Magnus Undén</v>
      </c>
      <c r="AC9" t="str">
        <v>Reine Schröder</v>
      </c>
      <c r="AD9" t="str">
        <v>Jim A.Nymoen</v>
      </c>
      <c r="AE9" t="str">
        <v>Jörgen Johannsen</v>
      </c>
      <c r="AF9" t="str">
        <v>Elias Parment</v>
      </c>
      <c r="AG9" t="str">
        <v>Espen Hoff</v>
      </c>
      <c r="AN9" t="str" cm="1">
        <f t="array" ref="AN9:AU9">TRANSPOSE(_xlfn._xlws.FILTER($C$32:$C$47,COUNTIF(_xlfn.ANCHORARRAY(Z9),$C$32:$C$47)=0))</f>
        <v>Kristoffer Stormark</v>
      </c>
      <c r="AO9" t="str">
        <v>Jonas Örevik</v>
      </c>
      <c r="AP9" t="str">
        <v>Håkan Elveljung</v>
      </c>
      <c r="AQ9" t="str">
        <v>Inge Haukom</v>
      </c>
      <c r="AR9" t="str">
        <v>Thomas Karlsson</v>
      </c>
      <c r="AS9" t="str">
        <v>EMPTY</v>
      </c>
      <c r="AT9" t="str">
        <v>SJUK (RM)</v>
      </c>
      <c r="AU9" t="str">
        <v>Mats Fernlund</v>
      </c>
    </row>
    <row r="10" spans="1:55" ht="15.6" x14ac:dyDescent="0.3">
      <c r="A10" s="9">
        <v>0.625</v>
      </c>
      <c r="B10">
        <f t="shared" si="0"/>
        <v>0</v>
      </c>
      <c r="C10" s="31" t="s">
        <v>132</v>
      </c>
      <c r="D10" s="12" t="s">
        <v>54</v>
      </c>
      <c r="E10" s="12" t="s">
        <v>56</v>
      </c>
      <c r="F10" s="17" t="s">
        <v>184</v>
      </c>
      <c r="G10" s="17" t="s">
        <v>182</v>
      </c>
      <c r="H10" s="17"/>
      <c r="I10" s="31" t="str">
        <f>C10</f>
        <v>DIV 1 GRUOP B</v>
      </c>
      <c r="J10" s="12" t="s">
        <v>58</v>
      </c>
      <c r="K10" s="12" t="s">
        <v>60</v>
      </c>
      <c r="L10" s="17" t="s">
        <v>173</v>
      </c>
      <c r="M10" s="17" t="s">
        <v>180</v>
      </c>
      <c r="N10" s="17"/>
      <c r="O10" s="31" t="s">
        <v>128</v>
      </c>
      <c r="P10" s="11" t="s">
        <v>16</v>
      </c>
      <c r="Q10" s="11" t="s">
        <v>26</v>
      </c>
      <c r="R10" s="17" t="s">
        <v>174</v>
      </c>
      <c r="S10" s="17" t="s">
        <v>186</v>
      </c>
      <c r="T10" s="17"/>
      <c r="U10" s="31" t="str">
        <f t="shared" si="2"/>
        <v>DIV 1 GRUOP A</v>
      </c>
      <c r="V10" s="11" t="s">
        <v>18</v>
      </c>
      <c r="W10" s="11" t="s">
        <v>23</v>
      </c>
      <c r="X10" s="10" t="s">
        <v>183</v>
      </c>
      <c r="Y10" s="10" t="s">
        <v>175</v>
      </c>
      <c r="Z10" t="str" cm="1">
        <f t="array" ref="Z10:AG10">_xlfn.HSTACK(F10:G10,L10:M10,R10:S10,X10:Y10)</f>
        <v>Jim A.Nymoen</v>
      </c>
      <c r="AA10" t="str">
        <v>Oliver Parment</v>
      </c>
      <c r="AB10" t="str">
        <v>Magnus Undén</v>
      </c>
      <c r="AC10" t="str">
        <v>Andreas Sjöberg</v>
      </c>
      <c r="AD10" t="str">
        <v>Mats Fernlund</v>
      </c>
      <c r="AE10" t="str">
        <v>Thomas Karlsson</v>
      </c>
      <c r="AF10" t="str">
        <v>Elias Parment</v>
      </c>
      <c r="AG10" t="str">
        <v>Reine Schröder</v>
      </c>
      <c r="AN10" t="str" cm="1">
        <f t="array" ref="AN10:AU10">TRANSPOSE(_xlfn._xlws.FILTER($C$32:$C$47,COUNTIF(_xlfn.ANCHORARRAY(Z10),$C$32:$C$47)=0))</f>
        <v>Espen Hoff</v>
      </c>
      <c r="AO10" t="str">
        <v>Jörgen Johannsen</v>
      </c>
      <c r="AP10" t="str">
        <v>Kristoffer Stormark</v>
      </c>
      <c r="AQ10" t="str">
        <v>Jonas Örevik</v>
      </c>
      <c r="AR10" t="str">
        <v>Håkan Elveljung</v>
      </c>
      <c r="AS10" t="str">
        <v>Inge Haukom</v>
      </c>
      <c r="AT10" t="str">
        <v>EMPTY</v>
      </c>
      <c r="AU10" t="str">
        <v>SJUK (RM)</v>
      </c>
    </row>
    <row r="11" spans="1:55" ht="15.6" x14ac:dyDescent="0.3">
      <c r="A11" s="9">
        <v>0.65625</v>
      </c>
      <c r="B11">
        <f t="shared" si="0"/>
        <v>0</v>
      </c>
      <c r="C11" s="31" t="s">
        <v>130</v>
      </c>
      <c r="D11" s="13" t="s">
        <v>5</v>
      </c>
      <c r="E11" s="13" t="s">
        <v>4</v>
      </c>
      <c r="F11" s="17" t="s">
        <v>176</v>
      </c>
      <c r="G11" s="17" t="s">
        <v>184</v>
      </c>
      <c r="H11" s="17"/>
      <c r="I11" s="31" t="str">
        <f t="shared" si="3"/>
        <v>ELITE GROUP A</v>
      </c>
      <c r="J11" s="13" t="s">
        <v>78</v>
      </c>
      <c r="K11" s="13" t="s">
        <v>9</v>
      </c>
      <c r="L11" s="17" t="s">
        <v>177</v>
      </c>
      <c r="M11" s="17" t="s">
        <v>181</v>
      </c>
      <c r="N11" s="17"/>
      <c r="O11" s="31" t="s">
        <v>131</v>
      </c>
      <c r="P11" s="16" t="s">
        <v>38</v>
      </c>
      <c r="Q11" s="16" t="s">
        <v>45</v>
      </c>
      <c r="R11" s="17" t="s">
        <v>183</v>
      </c>
      <c r="S11" s="17" t="s">
        <v>185</v>
      </c>
      <c r="T11" s="17"/>
      <c r="U11" s="31" t="str">
        <f t="shared" si="2"/>
        <v>MAJOR GROUP B</v>
      </c>
      <c r="V11" s="16" t="s">
        <v>41</v>
      </c>
      <c r="W11" s="16" t="s">
        <v>43</v>
      </c>
      <c r="X11" s="10" t="s">
        <v>180</v>
      </c>
      <c r="Y11" s="10" t="s">
        <v>182</v>
      </c>
      <c r="Z11" t="str" cm="1">
        <f t="array" ref="Z11:AG11">_xlfn.HSTACK(F11:G11,L11:M11,R11:S11,X11:Y11)</f>
        <v>Kristoffer Stormark</v>
      </c>
      <c r="AA11" t="str">
        <v>Jim A.Nymoen</v>
      </c>
      <c r="AB11" t="str">
        <v>Jörgen Johannsen</v>
      </c>
      <c r="AC11" t="str">
        <v>Inge Haukom</v>
      </c>
      <c r="AD11" t="str">
        <v>Elias Parment</v>
      </c>
      <c r="AE11" t="str">
        <v>Håkan Norberg</v>
      </c>
      <c r="AF11" t="str">
        <v>Andreas Sjöberg</v>
      </c>
      <c r="AG11" t="str">
        <v>Oliver Parment</v>
      </c>
      <c r="AN11" t="str" cm="1">
        <f t="array" ref="AN11:AV11">TRANSPOSE(_xlfn._xlws.FILTER($C$32:$C$47,COUNTIF(_xlfn.ANCHORARRAY(Z11),$C$32:$C$47)=0))</f>
        <v>Espen Hoff</v>
      </c>
      <c r="AO11" t="str">
        <v>Jonas Örevik</v>
      </c>
      <c r="AP11" t="str">
        <v>Håkan Elveljung</v>
      </c>
      <c r="AQ11" t="str">
        <v>Magnus Undén</v>
      </c>
      <c r="AR11" t="str">
        <v>Reine Schröder</v>
      </c>
      <c r="AS11" t="str">
        <v>Thomas Karlsson</v>
      </c>
      <c r="AT11" t="str">
        <v>EMPTY</v>
      </c>
      <c r="AU11" t="str">
        <v>SJUK (RM)</v>
      </c>
      <c r="AV11" t="str">
        <v>Mats Fernlund</v>
      </c>
    </row>
    <row r="12" spans="1:55" ht="15.6" x14ac:dyDescent="0.3">
      <c r="A12" s="9">
        <v>0.6875</v>
      </c>
      <c r="B12">
        <f t="shared" si="0"/>
        <v>0</v>
      </c>
      <c r="C12" s="31" t="s">
        <v>133</v>
      </c>
      <c r="D12" s="15" t="s">
        <v>37</v>
      </c>
      <c r="E12" s="15" t="s">
        <v>44</v>
      </c>
      <c r="F12" s="17" t="s">
        <v>175</v>
      </c>
      <c r="G12" s="17" t="s">
        <v>182</v>
      </c>
      <c r="H12" s="17"/>
      <c r="I12" s="31" t="str">
        <f t="shared" si="3"/>
        <v>MAJOR GROUP A</v>
      </c>
      <c r="J12" s="15" t="s">
        <v>40</v>
      </c>
      <c r="K12" s="15" t="s">
        <v>134</v>
      </c>
      <c r="L12" s="17" t="s">
        <v>180</v>
      </c>
      <c r="M12" s="17" t="s">
        <v>173</v>
      </c>
      <c r="N12" s="17"/>
      <c r="O12" s="31" t="s">
        <v>129</v>
      </c>
      <c r="P12" s="14" t="s">
        <v>6</v>
      </c>
      <c r="Q12" s="14" t="s">
        <v>15</v>
      </c>
      <c r="R12" s="17" t="s">
        <v>176</v>
      </c>
      <c r="S12" s="17" t="s">
        <v>177</v>
      </c>
      <c r="T12" s="17"/>
      <c r="U12" s="31" t="str">
        <f t="shared" si="2"/>
        <v>ELITE GROUP B</v>
      </c>
      <c r="V12" s="14" t="s">
        <v>10</v>
      </c>
      <c r="W12" s="14" t="s">
        <v>8</v>
      </c>
      <c r="X12" s="10" t="s">
        <v>178</v>
      </c>
      <c r="Y12" s="10" t="s">
        <v>184</v>
      </c>
      <c r="Z12" t="str" cm="1">
        <f t="array" ref="Z12:AG12">_xlfn.HSTACK(F12:G12,L12:M12,R12:S12,X12:Y12)</f>
        <v>Reine Schröder</v>
      </c>
      <c r="AA12" t="str">
        <v>Oliver Parment</v>
      </c>
      <c r="AB12" t="str">
        <v>Andreas Sjöberg</v>
      </c>
      <c r="AC12" t="str">
        <v>Magnus Undén</v>
      </c>
      <c r="AD12" t="str">
        <v>Kristoffer Stormark</v>
      </c>
      <c r="AE12" t="str">
        <v>Jörgen Johannsen</v>
      </c>
      <c r="AF12" t="str">
        <v>Håkan Elveljung</v>
      </c>
      <c r="AG12" t="str">
        <v>Jim A.Nymoen</v>
      </c>
      <c r="AN12" t="str" cm="1">
        <f t="array" ref="AN12:AU12">TRANSPOSE(_xlfn._xlws.FILTER($C$32:$C$47,COUNTIF(_xlfn.ANCHORARRAY(Z12),$C$32:$C$47)=0))</f>
        <v>Espen Hoff</v>
      </c>
      <c r="AO12" t="str">
        <v>Jonas Örevik</v>
      </c>
      <c r="AP12" t="str">
        <v>Inge Haukom</v>
      </c>
      <c r="AQ12" t="str">
        <v>Thomas Karlsson</v>
      </c>
      <c r="AR12" t="str">
        <v>EMPTY</v>
      </c>
      <c r="AS12" t="str">
        <v>Elias Parment</v>
      </c>
      <c r="AT12" t="str">
        <v>SJUK (RM)</v>
      </c>
      <c r="AU12" t="str">
        <v>Mats Fernlund</v>
      </c>
    </row>
    <row r="13" spans="1:55" ht="15.6" x14ac:dyDescent="0.3">
      <c r="A13" s="9">
        <v>0.71875</v>
      </c>
      <c r="B13">
        <f>COUNTIF(_xlfn.ANCHORARRAY(Z13),0)</f>
        <v>0</v>
      </c>
      <c r="C13" s="31" t="s">
        <v>128</v>
      </c>
      <c r="D13" s="11" t="s">
        <v>16</v>
      </c>
      <c r="E13" s="11" t="s">
        <v>18</v>
      </c>
      <c r="F13" s="17" t="s">
        <v>175</v>
      </c>
      <c r="G13" s="17" t="s">
        <v>182</v>
      </c>
      <c r="H13" s="17"/>
      <c r="I13" s="31" t="str">
        <f t="shared" si="3"/>
        <v>DIV 1 GRUOP A</v>
      </c>
      <c r="J13" s="11" t="s">
        <v>23</v>
      </c>
      <c r="K13" s="11" t="s">
        <v>21</v>
      </c>
      <c r="L13" s="17" t="s">
        <v>180</v>
      </c>
      <c r="M13" s="17" t="s">
        <v>173</v>
      </c>
      <c r="N13" s="17"/>
      <c r="O13" s="31" t="s">
        <v>132</v>
      </c>
      <c r="P13" s="12" t="s">
        <v>54</v>
      </c>
      <c r="Q13" s="12" t="s">
        <v>58</v>
      </c>
      <c r="R13" s="17" t="s">
        <v>177</v>
      </c>
      <c r="S13" s="17" t="s">
        <v>174</v>
      </c>
      <c r="T13" s="17"/>
      <c r="U13" s="31" t="str">
        <f t="shared" si="2"/>
        <v>DIV 1 GRUOP B</v>
      </c>
      <c r="V13" s="12" t="s">
        <v>56</v>
      </c>
      <c r="W13" s="12" t="s">
        <v>60</v>
      </c>
      <c r="X13" s="10" t="s">
        <v>183</v>
      </c>
      <c r="Y13" s="10" t="s">
        <v>181</v>
      </c>
      <c r="Z13" t="str" cm="1">
        <f t="array" ref="Z13:AG13">_xlfn.HSTACK(F13:G13,L13:M13,R13:S13,X13:Y13)</f>
        <v>Reine Schröder</v>
      </c>
      <c r="AA13" t="str">
        <v>Oliver Parment</v>
      </c>
      <c r="AB13" t="str">
        <v>Andreas Sjöberg</v>
      </c>
      <c r="AC13" t="str">
        <v>Magnus Undén</v>
      </c>
      <c r="AD13" t="str">
        <v>Jörgen Johannsen</v>
      </c>
      <c r="AE13" t="str">
        <v>Mats Fernlund</v>
      </c>
      <c r="AF13" t="str">
        <v>Elias Parment</v>
      </c>
      <c r="AG13" t="str">
        <v>Inge Haukom</v>
      </c>
      <c r="AN13" t="str" cm="1">
        <f t="array" ref="AN13:AU13">TRANSPOSE(_xlfn._xlws.FILTER($C$32:$C$47,COUNTIF(_xlfn.ANCHORARRAY(Z13),$C$32:$C$47)=0))</f>
        <v>Espen Hoff</v>
      </c>
      <c r="AO13" t="str">
        <v>Jim A.Nymoen</v>
      </c>
      <c r="AP13" t="str">
        <v>Kristoffer Stormark</v>
      </c>
      <c r="AQ13" t="str">
        <v>Jonas Örevik</v>
      </c>
      <c r="AR13" t="str">
        <v>Håkan Elveljung</v>
      </c>
      <c r="AS13" t="str">
        <v>Thomas Karlsson</v>
      </c>
      <c r="AT13" t="str">
        <v>EMPTY</v>
      </c>
      <c r="AU13" t="str">
        <v>SJUK (RM)</v>
      </c>
    </row>
    <row r="14" spans="1:55" ht="15.6" x14ac:dyDescent="0.3">
      <c r="A14" s="9">
        <v>0.76041666666666663</v>
      </c>
      <c r="C14" s="31"/>
      <c r="D14" s="42" t="s">
        <v>136</v>
      </c>
      <c r="E14" s="42"/>
      <c r="F14" s="42"/>
      <c r="G14" s="42"/>
      <c r="H14" s="42"/>
      <c r="I14" s="42"/>
      <c r="J14" s="42"/>
      <c r="K14" s="42"/>
      <c r="O14" s="31"/>
      <c r="P14" s="42" t="s">
        <v>136</v>
      </c>
      <c r="Q14" s="42"/>
      <c r="R14" s="42"/>
      <c r="S14" s="42"/>
      <c r="T14" s="42"/>
      <c r="U14" s="42"/>
      <c r="V14" s="42"/>
      <c r="W14" s="42"/>
      <c r="Z14" cm="1">
        <f t="array" ref="Z14:AG14">_xlfn.HSTACK(F14:G14,L14:M14,R14:S14,X14:Y14)</f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N14" t="str" cm="1">
        <f t="array" ref="AN14:BC14">TRANSPOSE(_xlfn._xlws.FILTER($C$32:$C$47,COUNTIF(_xlfn.ANCHORARRAY(Z14),$C$32:$C$47)=0))</f>
        <v>Espen Hoff</v>
      </c>
      <c r="AO14" t="str">
        <v>Jim A.Nymoen</v>
      </c>
      <c r="AP14" t="str">
        <v>Jörgen Johannsen</v>
      </c>
      <c r="AQ14" t="str">
        <v>Kristoffer Stormark</v>
      </c>
      <c r="AR14" t="str">
        <v>Jonas Örevik</v>
      </c>
      <c r="AS14" t="str">
        <v>Håkan Elveljung</v>
      </c>
      <c r="AT14" t="str">
        <v>Andreas Sjöberg</v>
      </c>
      <c r="AU14" t="str">
        <v>Inge Haukom</v>
      </c>
      <c r="AV14" t="str">
        <v>Magnus Undén</v>
      </c>
      <c r="AW14" t="str">
        <v>Oliver Parment</v>
      </c>
      <c r="AX14" t="str">
        <v>Reine Schröder</v>
      </c>
      <c r="AY14" t="str">
        <v>Thomas Karlsson</v>
      </c>
      <c r="AZ14" t="str">
        <v>EMPTY</v>
      </c>
      <c r="BA14" t="str">
        <v>Elias Parment</v>
      </c>
      <c r="BB14" t="str">
        <v>SJUK (RM)</v>
      </c>
      <c r="BC14" t="str">
        <v>Mats Fernlund</v>
      </c>
    </row>
    <row r="15" spans="1:55" x14ac:dyDescent="0.3">
      <c r="C15" s="31"/>
      <c r="I15" s="31"/>
      <c r="O15" s="31"/>
      <c r="U15" s="31"/>
      <c r="Z15" cm="1">
        <f t="array" ref="Z15:AG15">_xlfn.HSTACK(F15:G15,L15:M15,R15:S15,X15:Y15)</f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N15" t="str" cm="1">
        <f t="array" ref="AN15:BC15">TRANSPOSE(_xlfn._xlws.FILTER($C$32:$C$47,COUNTIF(_xlfn.ANCHORARRAY(Z15),$C$32:$C$47)=0))</f>
        <v>Espen Hoff</v>
      </c>
      <c r="AO15" t="str">
        <v>Jim A.Nymoen</v>
      </c>
      <c r="AP15" t="str">
        <v>Jörgen Johannsen</v>
      </c>
      <c r="AQ15" t="str">
        <v>Kristoffer Stormark</v>
      </c>
      <c r="AR15" t="str">
        <v>Jonas Örevik</v>
      </c>
      <c r="AS15" t="str">
        <v>Håkan Elveljung</v>
      </c>
      <c r="AT15" t="str">
        <v>Andreas Sjöberg</v>
      </c>
      <c r="AU15" t="str">
        <v>Inge Haukom</v>
      </c>
      <c r="AV15" t="str">
        <v>Magnus Undén</v>
      </c>
      <c r="AW15" t="str">
        <v>Oliver Parment</v>
      </c>
      <c r="AX15" t="str">
        <v>Reine Schröder</v>
      </c>
      <c r="AY15" t="str">
        <v>Thomas Karlsson</v>
      </c>
      <c r="AZ15" t="str">
        <v>EMPTY</v>
      </c>
      <c r="BA15" t="str">
        <v>Elias Parment</v>
      </c>
      <c r="BB15" t="str">
        <v>SJUK (RM)</v>
      </c>
      <c r="BC15" t="str">
        <v>Mats Fernlund</v>
      </c>
    </row>
    <row r="16" spans="1:55" ht="15.6" x14ac:dyDescent="0.3">
      <c r="A16" s="9" t="s">
        <v>137</v>
      </c>
      <c r="C16" s="31"/>
      <c r="D16" s="40" t="str">
        <f>D1</f>
        <v>Alfa Main</v>
      </c>
      <c r="E16" s="41"/>
      <c r="I16" s="31"/>
      <c r="J16" s="40" t="str">
        <f>J1</f>
        <v>Humana</v>
      </c>
      <c r="K16" s="41"/>
      <c r="O16" s="31"/>
      <c r="P16" s="40" t="str">
        <f>P1</f>
        <v>Scandic</v>
      </c>
      <c r="Q16" s="41"/>
      <c r="U16" s="31"/>
      <c r="V16" s="40" t="str">
        <f>V1</f>
        <v>Wallners</v>
      </c>
      <c r="W16" s="41"/>
      <c r="Z16" cm="1">
        <f t="array" ref="Z16:AG16">_xlfn.HSTACK(F16:G16,L16:M16,R16:S16,X16:Y16)</f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N16" t="str" cm="1">
        <f t="array" ref="AN16:BC16">TRANSPOSE(_xlfn._xlws.FILTER($C$32:$C$47,COUNTIF(_xlfn.ANCHORARRAY(Z16),$C$32:$C$47)=0))</f>
        <v>Espen Hoff</v>
      </c>
      <c r="AO16" t="str">
        <v>Jim A.Nymoen</v>
      </c>
      <c r="AP16" t="str">
        <v>Jörgen Johannsen</v>
      </c>
      <c r="AQ16" t="str">
        <v>Kristoffer Stormark</v>
      </c>
      <c r="AR16" t="str">
        <v>Jonas Örevik</v>
      </c>
      <c r="AS16" t="str">
        <v>Håkan Elveljung</v>
      </c>
      <c r="AT16" t="str">
        <v>Andreas Sjöberg</v>
      </c>
      <c r="AU16" t="str">
        <v>Inge Haukom</v>
      </c>
      <c r="AV16" t="str">
        <v>Magnus Undén</v>
      </c>
      <c r="AW16" t="str">
        <v>Oliver Parment</v>
      </c>
      <c r="AX16" t="str">
        <v>Reine Schröder</v>
      </c>
      <c r="AY16" t="str">
        <v>Thomas Karlsson</v>
      </c>
      <c r="AZ16" t="str">
        <v>EMPTY</v>
      </c>
      <c r="BA16" t="str">
        <v>Elias Parment</v>
      </c>
      <c r="BB16" t="str">
        <v>SJUK (RM)</v>
      </c>
      <c r="BC16" t="str">
        <v>Mats Fernlund</v>
      </c>
    </row>
    <row r="17" spans="1:51" ht="15.6" x14ac:dyDescent="0.3">
      <c r="A17" s="9">
        <v>0.375</v>
      </c>
      <c r="B17">
        <f t="shared" ref="B17:B25" si="4">COUNTIF(_xlfn.ANCHORARRAY(Z17),0)</f>
        <v>0</v>
      </c>
      <c r="C17" s="31" t="s">
        <v>138</v>
      </c>
      <c r="D17" s="27" t="s">
        <v>93</v>
      </c>
      <c r="E17" s="27" t="s">
        <v>70</v>
      </c>
      <c r="F17" s="17" t="s">
        <v>175</v>
      </c>
      <c r="G17" s="17" t="s">
        <v>183</v>
      </c>
      <c r="H17" s="17"/>
      <c r="I17" s="31" t="s">
        <v>139</v>
      </c>
      <c r="J17" s="27" t="s">
        <v>91</v>
      </c>
      <c r="K17" s="27" t="s">
        <v>81</v>
      </c>
      <c r="L17" s="10" t="s">
        <v>182</v>
      </c>
      <c r="M17" s="10" t="s">
        <v>174</v>
      </c>
      <c r="N17" s="17"/>
      <c r="O17" s="32" t="s">
        <v>140</v>
      </c>
      <c r="P17" s="29" t="s">
        <v>89</v>
      </c>
      <c r="Q17" s="29" t="s">
        <v>91</v>
      </c>
      <c r="R17" s="10" t="s">
        <v>176</v>
      </c>
      <c r="S17" s="10" t="s">
        <v>179</v>
      </c>
      <c r="U17" s="31" t="s">
        <v>141</v>
      </c>
      <c r="V17" s="29" t="s">
        <v>95</v>
      </c>
      <c r="W17" s="29" t="s">
        <v>93</v>
      </c>
      <c r="X17" s="10" t="s">
        <v>184</v>
      </c>
      <c r="Y17" s="10" t="s">
        <v>178</v>
      </c>
      <c r="Z17" t="str" cm="1">
        <f t="array" ref="Z17:AG17">_xlfn.HSTACK(F17:G17,L17:M17,R17:S17,X17:Y17)</f>
        <v>Reine Schröder</v>
      </c>
      <c r="AA17" t="str">
        <v>Elias Parment</v>
      </c>
      <c r="AB17" t="str">
        <v>Oliver Parment</v>
      </c>
      <c r="AC17" t="str">
        <v>Mats Fernlund</v>
      </c>
      <c r="AD17" t="str">
        <v>Kristoffer Stormark</v>
      </c>
      <c r="AE17" t="str">
        <v>Jonas Örevik</v>
      </c>
      <c r="AF17" t="str">
        <v>Jim A.Nymoen</v>
      </c>
      <c r="AG17" t="str">
        <v>Håkan Elveljung</v>
      </c>
      <c r="AN17" t="str" cm="1">
        <f t="array" ref="AN17:AU17">TRANSPOSE(_xlfn._xlws.FILTER($C$32:$C$47,COUNTIF(_xlfn.ANCHORARRAY(Z17),$C$32:$C$47)=0))</f>
        <v>Espen Hoff</v>
      </c>
      <c r="AO17" t="str">
        <v>Jörgen Johannsen</v>
      </c>
      <c r="AP17" t="str">
        <v>Andreas Sjöberg</v>
      </c>
      <c r="AQ17" t="str">
        <v>Inge Haukom</v>
      </c>
      <c r="AR17" t="str">
        <v>Magnus Undén</v>
      </c>
      <c r="AS17" t="str">
        <v>Thomas Karlsson</v>
      </c>
      <c r="AT17" t="str">
        <v>EMPTY</v>
      </c>
      <c r="AU17" t="str">
        <v>SJUK (RM)</v>
      </c>
    </row>
    <row r="18" spans="1:51" ht="15.6" x14ac:dyDescent="0.3">
      <c r="A18" s="9">
        <v>0.40625</v>
      </c>
      <c r="B18">
        <f t="shared" si="4"/>
        <v>0</v>
      </c>
      <c r="C18" s="31" t="s">
        <v>142</v>
      </c>
      <c r="D18" s="30" t="s">
        <v>69</v>
      </c>
      <c r="E18" s="30" t="s">
        <v>70</v>
      </c>
      <c r="F18" s="17" t="s">
        <v>175</v>
      </c>
      <c r="G18" s="17" t="s">
        <v>183</v>
      </c>
      <c r="H18" s="17"/>
      <c r="I18" s="32" t="s">
        <v>143</v>
      </c>
      <c r="J18" s="30" t="s">
        <v>80</v>
      </c>
      <c r="K18" s="30" t="s">
        <v>81</v>
      </c>
      <c r="L18" s="10" t="s">
        <v>182</v>
      </c>
      <c r="M18" s="10" t="s">
        <v>181</v>
      </c>
      <c r="N18" s="17"/>
      <c r="O18" s="32" t="s">
        <v>144</v>
      </c>
      <c r="P18" s="28" t="s">
        <v>69</v>
      </c>
      <c r="Q18" s="28" t="s">
        <v>112</v>
      </c>
      <c r="R18" s="17" t="s">
        <v>184</v>
      </c>
      <c r="S18" s="17" t="s">
        <v>186</v>
      </c>
      <c r="T18" s="17"/>
      <c r="U18" s="32" t="s">
        <v>145</v>
      </c>
      <c r="V18" s="28" t="s">
        <v>80</v>
      </c>
      <c r="W18" s="28" t="s">
        <v>113</v>
      </c>
      <c r="X18" s="10" t="s">
        <v>172</v>
      </c>
      <c r="Y18" s="10" t="s">
        <v>180</v>
      </c>
      <c r="Z18" t="str" cm="1">
        <f t="array" ref="Z18:AG18">_xlfn.HSTACK(F18:G18,L18:M18,R18:S18,X18:Y18)</f>
        <v>Reine Schröder</v>
      </c>
      <c r="AA18" t="str">
        <v>Elias Parment</v>
      </c>
      <c r="AB18" t="str">
        <v>Oliver Parment</v>
      </c>
      <c r="AC18" t="str">
        <v>Inge Haukom</v>
      </c>
      <c r="AD18" t="str">
        <v>Jim A.Nymoen</v>
      </c>
      <c r="AE18" t="str">
        <v>Thomas Karlsson</v>
      </c>
      <c r="AF18" t="str">
        <v>Espen Hoff</v>
      </c>
      <c r="AG18" t="str">
        <v>Andreas Sjöberg</v>
      </c>
      <c r="AN18" t="str" cm="1">
        <f t="array" ref="AN18:AU18">TRANSPOSE(_xlfn._xlws.FILTER($C$32:$C$47,COUNTIF(_xlfn.ANCHORARRAY(Z18),$C$32:$C$47)=0))</f>
        <v>Jörgen Johannsen</v>
      </c>
      <c r="AO18" t="str">
        <v>Kristoffer Stormark</v>
      </c>
      <c r="AP18" t="str">
        <v>Jonas Örevik</v>
      </c>
      <c r="AQ18" t="str">
        <v>Håkan Elveljung</v>
      </c>
      <c r="AR18" t="str">
        <v>Magnus Undén</v>
      </c>
      <c r="AS18" t="str">
        <v>EMPTY</v>
      </c>
      <c r="AT18" t="str">
        <v>SJUK (RM)</v>
      </c>
      <c r="AU18" t="str">
        <v>Mats Fernlund</v>
      </c>
    </row>
    <row r="19" spans="1:51" ht="15.6" x14ac:dyDescent="0.3">
      <c r="A19" s="9">
        <v>0.4375</v>
      </c>
      <c r="B19">
        <f t="shared" si="4"/>
        <v>0</v>
      </c>
      <c r="C19" s="31" t="s">
        <v>146</v>
      </c>
      <c r="D19" s="29" t="s">
        <v>69</v>
      </c>
      <c r="E19" s="29" t="s">
        <v>70</v>
      </c>
      <c r="F19" s="17" t="s">
        <v>176</v>
      </c>
      <c r="G19" s="17" t="s">
        <v>173</v>
      </c>
      <c r="H19" s="17"/>
      <c r="I19" s="32" t="s">
        <v>147</v>
      </c>
      <c r="J19" s="27" t="s">
        <v>86</v>
      </c>
      <c r="K19" s="27" t="s">
        <v>87</v>
      </c>
      <c r="L19" s="17" t="s">
        <v>182</v>
      </c>
      <c r="M19" s="17" t="s">
        <v>183</v>
      </c>
      <c r="N19" s="17"/>
      <c r="O19" s="32" t="s">
        <v>148</v>
      </c>
      <c r="P19" s="30" t="s">
        <v>89</v>
      </c>
      <c r="Q19" s="30" t="s">
        <v>91</v>
      </c>
      <c r="R19" s="17" t="s">
        <v>186</v>
      </c>
      <c r="S19" s="17" t="s">
        <v>181</v>
      </c>
      <c r="T19" s="17"/>
      <c r="U19" s="32" t="s">
        <v>149</v>
      </c>
      <c r="V19" s="30" t="s">
        <v>91</v>
      </c>
      <c r="W19" s="30" t="s">
        <v>70</v>
      </c>
      <c r="X19" s="10" t="s">
        <v>172</v>
      </c>
      <c r="Y19" s="10" t="s">
        <v>180</v>
      </c>
      <c r="Z19" t="str" cm="1">
        <f t="array" ref="Z19:AG19">_xlfn.HSTACK(F19:G19,L19:M19,R19:S19,X19:Y19)</f>
        <v>Kristoffer Stormark</v>
      </c>
      <c r="AA19" t="str">
        <v>Magnus Undén</v>
      </c>
      <c r="AB19" t="str">
        <v>Oliver Parment</v>
      </c>
      <c r="AC19" t="str">
        <v>Elias Parment</v>
      </c>
      <c r="AD19" t="str">
        <v>Thomas Karlsson</v>
      </c>
      <c r="AE19" t="str">
        <v>Inge Haukom</v>
      </c>
      <c r="AF19" t="str">
        <v>Espen Hoff</v>
      </c>
      <c r="AG19" t="str">
        <v>Andreas Sjöberg</v>
      </c>
      <c r="AN19" t="str" cm="1">
        <f t="array" ref="AN19:AU19">TRANSPOSE(_xlfn._xlws.FILTER($C$32:$C$47,COUNTIF(_xlfn.ANCHORARRAY(Z19),$C$32:$C$47)=0))</f>
        <v>Jim A.Nymoen</v>
      </c>
      <c r="AO19" t="str">
        <v>Jörgen Johannsen</v>
      </c>
      <c r="AP19" t="str">
        <v>Jonas Örevik</v>
      </c>
      <c r="AQ19" t="str">
        <v>Håkan Elveljung</v>
      </c>
      <c r="AR19" t="str">
        <v>Reine Schröder</v>
      </c>
      <c r="AS19" t="str">
        <v>EMPTY</v>
      </c>
      <c r="AT19" t="str">
        <v>SJUK (RM)</v>
      </c>
      <c r="AU19" t="str">
        <v>Mats Fernlund</v>
      </c>
    </row>
    <row r="20" spans="1:51" ht="15.6" x14ac:dyDescent="0.3">
      <c r="A20" s="9">
        <v>0.46875</v>
      </c>
      <c r="B20">
        <f>COUNTIF(_xlfn.ANCHORARRAY(Z20),0)-4</f>
        <v>0</v>
      </c>
      <c r="C20" s="31" t="s">
        <v>150</v>
      </c>
      <c r="D20" s="28" t="s">
        <v>86</v>
      </c>
      <c r="E20" s="28" t="s">
        <v>87</v>
      </c>
      <c r="F20" s="17" t="s">
        <v>183</v>
      </c>
      <c r="G20" s="17" t="s">
        <v>173</v>
      </c>
      <c r="H20" s="17"/>
      <c r="I20" s="32" t="s">
        <v>151</v>
      </c>
      <c r="J20" s="29" t="s">
        <v>80</v>
      </c>
      <c r="K20" s="29" t="s">
        <v>81</v>
      </c>
      <c r="L20" s="17" t="s">
        <v>176</v>
      </c>
      <c r="M20" s="17" t="s">
        <v>180</v>
      </c>
      <c r="N20" s="17"/>
      <c r="O20" s="32"/>
      <c r="P20" s="42" t="s">
        <v>135</v>
      </c>
      <c r="Q20" s="42"/>
      <c r="R20" s="42"/>
      <c r="S20" s="42"/>
      <c r="T20" s="42"/>
      <c r="U20" s="42"/>
      <c r="V20" s="42"/>
      <c r="W20" s="42"/>
      <c r="Z20" t="str" cm="1">
        <f t="array" ref="Z20:AG20">_xlfn.HSTACK(F20:G20,L20:M20,R20:S20,X20:Y20)</f>
        <v>Elias Parment</v>
      </c>
      <c r="AA20" t="str">
        <v>Magnus Undén</v>
      </c>
      <c r="AB20" t="str">
        <v>Kristoffer Stormark</v>
      </c>
      <c r="AC20" t="str">
        <v>Andreas Sjöberg</v>
      </c>
      <c r="AD20">
        <v>0</v>
      </c>
      <c r="AE20">
        <v>0</v>
      </c>
      <c r="AF20">
        <v>0</v>
      </c>
      <c r="AG20">
        <v>0</v>
      </c>
      <c r="AN20" t="str" cm="1">
        <f t="array" ref="AN20:AY20">TRANSPOSE(_xlfn._xlws.FILTER($C$32:$C$47,COUNTIF(_xlfn.ANCHORARRAY(Z20),$C$32:$C$47)=0))</f>
        <v>Espen Hoff</v>
      </c>
      <c r="AO20" t="str">
        <v>Jim A.Nymoen</v>
      </c>
      <c r="AP20" t="str">
        <v>Jörgen Johannsen</v>
      </c>
      <c r="AQ20" t="str">
        <v>Jonas Örevik</v>
      </c>
      <c r="AR20" t="str">
        <v>Håkan Elveljung</v>
      </c>
      <c r="AS20" t="str">
        <v>Inge Haukom</v>
      </c>
      <c r="AT20" t="str">
        <v>Oliver Parment</v>
      </c>
      <c r="AU20" t="str">
        <v>Reine Schröder</v>
      </c>
      <c r="AV20" t="str">
        <v>Thomas Karlsson</v>
      </c>
      <c r="AW20" t="str">
        <v>EMPTY</v>
      </c>
      <c r="AX20" t="str">
        <v>SJUK (RM)</v>
      </c>
      <c r="AY20" t="str">
        <v>Mats Fernlund</v>
      </c>
    </row>
    <row r="21" spans="1:51" ht="15.6" x14ac:dyDescent="0.3">
      <c r="A21" s="9">
        <v>0.5</v>
      </c>
      <c r="B21">
        <f>COUNTIF(_xlfn.ANCHORARRAY(Z21),0)-4</f>
        <v>0</v>
      </c>
      <c r="C21" s="31"/>
      <c r="D21" s="42" t="s">
        <v>135</v>
      </c>
      <c r="E21" s="42"/>
      <c r="F21" s="42"/>
      <c r="G21" s="42"/>
      <c r="H21" s="42"/>
      <c r="I21" s="42"/>
      <c r="J21" s="42"/>
      <c r="K21" s="42"/>
      <c r="L21" s="17"/>
      <c r="M21" s="17"/>
      <c r="N21" s="17"/>
      <c r="O21" s="32" t="s">
        <v>152</v>
      </c>
      <c r="P21" s="27" t="s">
        <v>87</v>
      </c>
      <c r="Q21" s="27" t="s">
        <v>119</v>
      </c>
      <c r="R21" s="10" t="s">
        <v>173</v>
      </c>
      <c r="S21" s="10" t="s">
        <v>175</v>
      </c>
      <c r="U21" s="31" t="s">
        <v>153</v>
      </c>
      <c r="V21" s="29" t="s">
        <v>98</v>
      </c>
      <c r="W21" s="29" t="s">
        <v>99</v>
      </c>
      <c r="X21" s="10" t="s">
        <v>172</v>
      </c>
      <c r="Y21" s="10" t="s">
        <v>184</v>
      </c>
      <c r="Z21" cm="1">
        <f t="array" ref="Z21:AG21">_xlfn.HSTACK(F21:G21,L21:M21,R21:S21,X21:Y21)</f>
        <v>0</v>
      </c>
      <c r="AA21">
        <v>0</v>
      </c>
      <c r="AB21">
        <v>0</v>
      </c>
      <c r="AC21">
        <v>0</v>
      </c>
      <c r="AD21" t="str">
        <v>Magnus Undén</v>
      </c>
      <c r="AE21" t="str">
        <v>Reine Schröder</v>
      </c>
      <c r="AF21" t="str">
        <v>Espen Hoff</v>
      </c>
      <c r="AG21" t="str">
        <v>Jim A.Nymoen</v>
      </c>
      <c r="AN21" t="str" cm="1">
        <f t="array" ref="AN21:AY21">TRANSPOSE(_xlfn._xlws.FILTER($C$32:$C$47,COUNTIF(_xlfn.ANCHORARRAY(Z21),$C$32:$C$47)=0))</f>
        <v>Jörgen Johannsen</v>
      </c>
      <c r="AO21" t="str">
        <v>Kristoffer Stormark</v>
      </c>
      <c r="AP21" t="str">
        <v>Jonas Örevik</v>
      </c>
      <c r="AQ21" t="str">
        <v>Håkan Elveljung</v>
      </c>
      <c r="AR21" t="str">
        <v>Andreas Sjöberg</v>
      </c>
      <c r="AS21" t="str">
        <v>Inge Haukom</v>
      </c>
      <c r="AT21" t="str">
        <v>Oliver Parment</v>
      </c>
      <c r="AU21" t="str">
        <v>Thomas Karlsson</v>
      </c>
      <c r="AV21" t="str">
        <v>EMPTY</v>
      </c>
      <c r="AW21" t="str">
        <v>Elias Parment</v>
      </c>
      <c r="AX21" t="str">
        <v>SJUK (RM)</v>
      </c>
      <c r="AY21" t="str">
        <v>Mats Fernlund</v>
      </c>
    </row>
    <row r="22" spans="1:51" ht="15.6" x14ac:dyDescent="0.3">
      <c r="A22" s="9">
        <v>0.53125</v>
      </c>
      <c r="B22">
        <f t="shared" si="4"/>
        <v>0</v>
      </c>
      <c r="C22" s="31" t="s">
        <v>154</v>
      </c>
      <c r="D22" s="30" t="s">
        <v>98</v>
      </c>
      <c r="E22" s="30" t="s">
        <v>99</v>
      </c>
      <c r="F22" s="10" t="s">
        <v>182</v>
      </c>
      <c r="G22" s="10" t="s">
        <v>180</v>
      </c>
      <c r="I22" s="31" t="s">
        <v>143</v>
      </c>
      <c r="J22" s="30" t="s">
        <v>104</v>
      </c>
      <c r="K22" s="30" t="s">
        <v>105</v>
      </c>
      <c r="L22" s="17" t="s">
        <v>183</v>
      </c>
      <c r="M22" s="17" t="s">
        <v>172</v>
      </c>
      <c r="N22" s="17"/>
      <c r="O22" s="32" t="s">
        <v>155</v>
      </c>
      <c r="P22" s="30" t="s">
        <v>83</v>
      </c>
      <c r="Q22" s="30" t="s">
        <v>84</v>
      </c>
      <c r="R22" s="10" t="s">
        <v>173</v>
      </c>
      <c r="S22" s="10" t="s">
        <v>175</v>
      </c>
      <c r="T22" s="17"/>
      <c r="U22" s="31" t="s">
        <v>156</v>
      </c>
      <c r="V22" s="29" t="s">
        <v>104</v>
      </c>
      <c r="W22" s="29" t="s">
        <v>105</v>
      </c>
      <c r="X22" s="10" t="s">
        <v>177</v>
      </c>
      <c r="Y22" s="10" t="s">
        <v>179</v>
      </c>
      <c r="Z22" t="str" cm="1">
        <f t="array" ref="Z22:AG22">_xlfn.HSTACK(F22:G22,L22:M22,R22:S22,X22:Y22)</f>
        <v>Oliver Parment</v>
      </c>
      <c r="AA22" t="str">
        <v>Andreas Sjöberg</v>
      </c>
      <c r="AB22" t="str">
        <v>Elias Parment</v>
      </c>
      <c r="AC22" t="str">
        <v>Espen Hoff</v>
      </c>
      <c r="AD22" t="str">
        <v>Magnus Undén</v>
      </c>
      <c r="AE22" t="str">
        <v>Reine Schröder</v>
      </c>
      <c r="AF22" t="str">
        <v>Jörgen Johannsen</v>
      </c>
      <c r="AG22" t="str">
        <v>Jonas Örevik</v>
      </c>
      <c r="AN22" t="str" cm="1">
        <f t="array" ref="AN22:AU22">TRANSPOSE(_xlfn._xlws.FILTER($C$32:$C$47,COUNTIF(_xlfn.ANCHORARRAY(Z22),$C$32:$C$47)=0))</f>
        <v>Jim A.Nymoen</v>
      </c>
      <c r="AO22" t="str">
        <v>Kristoffer Stormark</v>
      </c>
      <c r="AP22" t="str">
        <v>Håkan Elveljung</v>
      </c>
      <c r="AQ22" t="str">
        <v>Inge Haukom</v>
      </c>
      <c r="AR22" t="str">
        <v>Thomas Karlsson</v>
      </c>
      <c r="AS22" t="str">
        <v>EMPTY</v>
      </c>
      <c r="AT22" t="str">
        <v>SJUK (RM)</v>
      </c>
      <c r="AU22" t="str">
        <v>Mats Fernlund</v>
      </c>
    </row>
    <row r="23" spans="1:51" ht="15.6" x14ac:dyDescent="0.3">
      <c r="A23" s="9">
        <v>0.5625</v>
      </c>
      <c r="B23">
        <f t="shared" si="4"/>
        <v>0</v>
      </c>
      <c r="C23" s="31" t="s">
        <v>157</v>
      </c>
      <c r="D23" s="29" t="s">
        <v>72</v>
      </c>
      <c r="E23" s="29" t="s">
        <v>73</v>
      </c>
      <c r="F23" s="17" t="s">
        <v>176</v>
      </c>
      <c r="G23" s="17" t="s">
        <v>180</v>
      </c>
      <c r="H23" s="17"/>
      <c r="I23" s="32" t="s">
        <v>158</v>
      </c>
      <c r="J23" s="29" t="s">
        <v>83</v>
      </c>
      <c r="K23" s="29" t="s">
        <v>84</v>
      </c>
      <c r="L23" s="17" t="s">
        <v>177</v>
      </c>
      <c r="M23" s="17" t="s">
        <v>186</v>
      </c>
      <c r="N23" s="17"/>
      <c r="O23" s="32" t="s">
        <v>159</v>
      </c>
      <c r="P23" s="27" t="s">
        <v>119</v>
      </c>
      <c r="Q23" s="27" t="s">
        <v>86</v>
      </c>
      <c r="R23" s="10" t="s">
        <v>173</v>
      </c>
      <c r="S23" s="10" t="s">
        <v>175</v>
      </c>
      <c r="T23" s="17"/>
      <c r="U23" s="32" t="s">
        <v>155</v>
      </c>
      <c r="V23" s="30" t="s">
        <v>72</v>
      </c>
      <c r="W23" s="30" t="s">
        <v>73</v>
      </c>
      <c r="X23" s="10" t="s">
        <v>183</v>
      </c>
      <c r="Y23" s="10" t="s">
        <v>182</v>
      </c>
      <c r="Z23" t="str" cm="1">
        <f t="array" ref="Z23:AG23">_xlfn.HSTACK(F23:G23,L23:M23,R23:S23,X23:Y23)</f>
        <v>Kristoffer Stormark</v>
      </c>
      <c r="AA23" t="str">
        <v>Andreas Sjöberg</v>
      </c>
      <c r="AB23" t="str">
        <v>Jörgen Johannsen</v>
      </c>
      <c r="AC23" t="str">
        <v>Thomas Karlsson</v>
      </c>
      <c r="AD23" t="str">
        <v>Magnus Undén</v>
      </c>
      <c r="AE23" t="str">
        <v>Reine Schröder</v>
      </c>
      <c r="AF23" t="str">
        <v>Elias Parment</v>
      </c>
      <c r="AG23" t="str">
        <v>Oliver Parment</v>
      </c>
      <c r="AN23" t="str" cm="1">
        <f t="array" ref="AN23:AU23">TRANSPOSE(_xlfn._xlws.FILTER($C$32:$C$47,COUNTIF(_xlfn.ANCHORARRAY(Z23),$C$32:$C$47)=0))</f>
        <v>Espen Hoff</v>
      </c>
      <c r="AO23" t="str">
        <v>Jim A.Nymoen</v>
      </c>
      <c r="AP23" t="str">
        <v>Jonas Örevik</v>
      </c>
      <c r="AQ23" t="str">
        <v>Håkan Elveljung</v>
      </c>
      <c r="AR23" t="str">
        <v>Inge Haukom</v>
      </c>
      <c r="AS23" t="str">
        <v>EMPTY</v>
      </c>
      <c r="AT23" t="str">
        <v>SJUK (RM)</v>
      </c>
      <c r="AU23" t="str">
        <v>Mats Fernlund</v>
      </c>
    </row>
    <row r="24" spans="1:51" ht="15.6" x14ac:dyDescent="0.3">
      <c r="A24" s="9">
        <v>0.59375</v>
      </c>
      <c r="B24">
        <f t="shared" si="4"/>
        <v>0</v>
      </c>
      <c r="C24" s="31" t="s">
        <v>160</v>
      </c>
      <c r="D24" s="28" t="s">
        <v>75</v>
      </c>
      <c r="E24" s="28" t="s">
        <v>76</v>
      </c>
      <c r="F24" s="17" t="s">
        <v>175</v>
      </c>
      <c r="G24" s="17" t="s">
        <v>173</v>
      </c>
      <c r="H24" s="17"/>
      <c r="I24" s="32" t="s">
        <v>161</v>
      </c>
      <c r="J24" s="27" t="s">
        <v>75</v>
      </c>
      <c r="K24" s="27" t="s">
        <v>76</v>
      </c>
      <c r="L24" s="17" t="s">
        <v>183</v>
      </c>
      <c r="M24" s="17" t="s">
        <v>182</v>
      </c>
      <c r="N24" s="17"/>
      <c r="O24" s="32" t="s">
        <v>162</v>
      </c>
      <c r="P24" s="29" t="s">
        <v>107</v>
      </c>
      <c r="Q24" s="29" t="s">
        <v>108</v>
      </c>
      <c r="R24" s="17" t="s">
        <v>184</v>
      </c>
      <c r="S24" s="17" t="s">
        <v>179</v>
      </c>
      <c r="T24" s="17"/>
      <c r="U24" s="32" t="s">
        <v>163</v>
      </c>
      <c r="V24" s="29" t="s">
        <v>101</v>
      </c>
      <c r="W24" s="29" t="s">
        <v>102</v>
      </c>
      <c r="X24" s="10" t="s">
        <v>172</v>
      </c>
      <c r="Y24" s="10" t="s">
        <v>177</v>
      </c>
      <c r="Z24" t="str" cm="1">
        <f t="array" ref="Z24:AG24">_xlfn.HSTACK(F24:G24,L24:M24,R24:S24,X24:Y24)</f>
        <v>Reine Schröder</v>
      </c>
      <c r="AA24" t="str">
        <v>Magnus Undén</v>
      </c>
      <c r="AB24" t="str">
        <v>Elias Parment</v>
      </c>
      <c r="AC24" t="str">
        <v>Oliver Parment</v>
      </c>
      <c r="AD24" t="str">
        <v>Jim A.Nymoen</v>
      </c>
      <c r="AE24" t="str">
        <v>Jonas Örevik</v>
      </c>
      <c r="AF24" t="str">
        <v>Espen Hoff</v>
      </c>
      <c r="AG24" t="str">
        <v>Jörgen Johannsen</v>
      </c>
      <c r="AN24" t="str" cm="1">
        <f t="array" ref="AN24:AU24">TRANSPOSE(_xlfn._xlws.FILTER($C$32:$C$47,COUNTIF(_xlfn.ANCHORARRAY(Z24),$C$32:$C$47)=0))</f>
        <v>Kristoffer Stormark</v>
      </c>
      <c r="AO24" t="str">
        <v>Håkan Elveljung</v>
      </c>
      <c r="AP24" t="str">
        <v>Andreas Sjöberg</v>
      </c>
      <c r="AQ24" t="str">
        <v>Inge Haukom</v>
      </c>
      <c r="AR24" t="str">
        <v>Thomas Karlsson</v>
      </c>
      <c r="AS24" t="str">
        <v>EMPTY</v>
      </c>
      <c r="AT24" t="str">
        <v>SJUK (RM)</v>
      </c>
      <c r="AU24" t="str">
        <v>Mats Fernlund</v>
      </c>
    </row>
    <row r="25" spans="1:51" ht="15.6" x14ac:dyDescent="0.3">
      <c r="A25" s="9">
        <v>0.63541666666666663</v>
      </c>
      <c r="B25">
        <f t="shared" si="4"/>
        <v>0</v>
      </c>
      <c r="C25" s="31" t="s">
        <v>164</v>
      </c>
      <c r="D25" s="30" t="s">
        <v>75</v>
      </c>
      <c r="E25" s="30" t="s">
        <v>76</v>
      </c>
      <c r="F25" s="17" t="s">
        <v>178</v>
      </c>
      <c r="G25" s="17" t="s">
        <v>184</v>
      </c>
      <c r="H25" s="17"/>
      <c r="I25" s="32" t="s">
        <v>169</v>
      </c>
      <c r="J25" s="29" t="s">
        <v>86</v>
      </c>
      <c r="K25" s="29" t="s">
        <v>87</v>
      </c>
      <c r="L25" s="17" t="s">
        <v>176</v>
      </c>
      <c r="M25" s="17" t="s">
        <v>172</v>
      </c>
      <c r="N25" s="17"/>
      <c r="O25" s="32" t="s">
        <v>166</v>
      </c>
      <c r="P25" s="30" t="s">
        <v>101</v>
      </c>
      <c r="Q25" s="30" t="s">
        <v>102</v>
      </c>
      <c r="R25" s="17" t="s">
        <v>180</v>
      </c>
      <c r="S25" s="17" t="s">
        <v>173</v>
      </c>
      <c r="T25" s="17"/>
      <c r="U25" s="32" t="s">
        <v>167</v>
      </c>
      <c r="V25" s="30" t="s">
        <v>107</v>
      </c>
      <c r="W25" s="30" t="s">
        <v>108</v>
      </c>
      <c r="X25" s="10" t="s">
        <v>182</v>
      </c>
      <c r="Y25" s="10" t="s">
        <v>174</v>
      </c>
      <c r="Z25" t="str" cm="1">
        <f t="array" ref="Z25:AF25">_xlfn.HSTACK(F25:G25,M25:M25,R25:S25,X25:Y25)</f>
        <v>Håkan Elveljung</v>
      </c>
      <c r="AA25" t="str">
        <v>Jim A.Nymoen</v>
      </c>
      <c r="AB25" t="str">
        <v>Espen Hoff</v>
      </c>
      <c r="AC25" t="str">
        <v>Andreas Sjöberg</v>
      </c>
      <c r="AD25" t="str">
        <v>Magnus Undén</v>
      </c>
      <c r="AE25" t="str">
        <v>Oliver Parment</v>
      </c>
      <c r="AF25" t="str">
        <v>Mats Fernlund</v>
      </c>
      <c r="AN25" t="str" cm="1">
        <f t="array" ref="AN25:AV25">TRANSPOSE(_xlfn._xlws.FILTER($C$32:$C$47,COUNTIF(_xlfn.ANCHORARRAY(Z25),$C$32:$C$47)=0))</f>
        <v>Jörgen Johannsen</v>
      </c>
      <c r="AO25" t="str">
        <v>Kristoffer Stormark</v>
      </c>
      <c r="AP25" t="str">
        <v>Jonas Örevik</v>
      </c>
      <c r="AQ25" t="str">
        <v>Inge Haukom</v>
      </c>
      <c r="AR25" t="str">
        <v>Reine Schröder</v>
      </c>
      <c r="AS25" t="str">
        <v>Thomas Karlsson</v>
      </c>
      <c r="AT25" t="str">
        <v>EMPTY</v>
      </c>
      <c r="AU25" t="str">
        <v>Elias Parment</v>
      </c>
      <c r="AV25" t="str">
        <v>SJUK (RM)</v>
      </c>
    </row>
    <row r="26" spans="1:51" ht="15.6" x14ac:dyDescent="0.3">
      <c r="A26" s="9">
        <v>0.67708333333333337</v>
      </c>
      <c r="C26" s="31" t="s">
        <v>168</v>
      </c>
      <c r="D26" s="29" t="s">
        <v>75</v>
      </c>
      <c r="E26" s="29" t="s">
        <v>76</v>
      </c>
      <c r="F26" s="17" t="s">
        <v>176</v>
      </c>
      <c r="G26" s="17" t="s">
        <v>177</v>
      </c>
      <c r="I26" s="32" t="s">
        <v>165</v>
      </c>
      <c r="J26" s="30" t="s">
        <v>86</v>
      </c>
      <c r="K26" s="30" t="s">
        <v>87</v>
      </c>
      <c r="L26" s="17" t="s">
        <v>183</v>
      </c>
      <c r="M26" s="17" t="s">
        <v>182</v>
      </c>
      <c r="N26" s="17"/>
      <c r="O26" s="32"/>
      <c r="P26" s="17"/>
      <c r="Q26" s="17"/>
    </row>
    <row r="27" spans="1:51" ht="15.6" x14ac:dyDescent="0.3">
      <c r="A27" s="9">
        <v>0.71875</v>
      </c>
      <c r="C27" s="31"/>
      <c r="G27" s="34"/>
      <c r="K27" s="31"/>
      <c r="O27" s="31"/>
    </row>
    <row r="32" spans="1:51" x14ac:dyDescent="0.3">
      <c r="C32" t="s">
        <v>172</v>
      </c>
      <c r="D32">
        <f>COUNTIF($F$3:$G$26:$L$3:$M$26:$R$3:$S$25:$X$3:$Y$25,$C32)</f>
        <v>11</v>
      </c>
    </row>
    <row r="33" spans="3:4" x14ac:dyDescent="0.3">
      <c r="C33" t="s">
        <v>184</v>
      </c>
      <c r="D33">
        <f>COUNTIF($F$3:$G$26:$L$3:$M$26:$R$3:$S$25:$X$3:$Y$25,$C33)</f>
        <v>12</v>
      </c>
    </row>
    <row r="34" spans="3:4" x14ac:dyDescent="0.3">
      <c r="C34" t="s">
        <v>177</v>
      </c>
      <c r="D34">
        <f>COUNTIF($F$3:$G$26:$L$3:$M$26:$R$3:$S$25:$X$3:$Y$25,$C34)</f>
        <v>10</v>
      </c>
    </row>
    <row r="35" spans="3:4" x14ac:dyDescent="0.3">
      <c r="C35" t="s">
        <v>176</v>
      </c>
      <c r="D35">
        <f>COUNTIF($F$3:$G$26:$L$3:$M$26:$R$3:$S$25:$X$3:$Y$25,$C35)</f>
        <v>12</v>
      </c>
    </row>
    <row r="36" spans="3:4" x14ac:dyDescent="0.3">
      <c r="C36" t="s">
        <v>179</v>
      </c>
      <c r="D36">
        <f>COUNTIF($F$3:$G$26:$L$3:$M$26:$R$3:$S$25:$X$3:$Y$25,$C36)</f>
        <v>6</v>
      </c>
    </row>
    <row r="37" spans="3:4" x14ac:dyDescent="0.3">
      <c r="C37" t="s">
        <v>178</v>
      </c>
      <c r="D37">
        <f>COUNTIF($F$3:$G$26:$L$3:$M$26:$R$3:$S$25:$X$3:$Y$25,$C37)</f>
        <v>5</v>
      </c>
    </row>
    <row r="38" spans="3:4" x14ac:dyDescent="0.3">
      <c r="C38" s="33" t="s">
        <v>180</v>
      </c>
      <c r="D38" s="33">
        <f>COUNTIF($F$3:$G$26:$L$3:$M$26:$R$3:$S$25:$X$3:$Y$25,$C38)</f>
        <v>14</v>
      </c>
    </row>
    <row r="39" spans="3:4" x14ac:dyDescent="0.3">
      <c r="C39" t="s">
        <v>181</v>
      </c>
      <c r="D39">
        <f>COUNTIF($F$3:$G$26:$L$3:$M$26:$R$3:$S$25:$X$3:$Y$25,$C39)</f>
        <v>7</v>
      </c>
    </row>
    <row r="40" spans="3:4" x14ac:dyDescent="0.3">
      <c r="C40" s="33" t="s">
        <v>173</v>
      </c>
      <c r="D40" s="33">
        <f>COUNTIF($F$3:$G$26:$L$3:$M$26:$R$3:$S$25:$X$3:$Y$25,$C40)</f>
        <v>15</v>
      </c>
    </row>
    <row r="41" spans="3:4" x14ac:dyDescent="0.3">
      <c r="C41" s="33" t="s">
        <v>182</v>
      </c>
      <c r="D41" s="33">
        <f>COUNTIF($F$3:$G$26:$L$3:$M$26:$R$3:$S$25:$X$3:$Y$25,$C41)</f>
        <v>14</v>
      </c>
    </row>
    <row r="42" spans="3:4" x14ac:dyDescent="0.3">
      <c r="C42" s="33" t="s">
        <v>175</v>
      </c>
      <c r="D42" s="33">
        <f>COUNTIF($F$3:$G$26:$L$3:$M$26:$R$3:$S$25:$X$3:$Y$25,$C42)</f>
        <v>14</v>
      </c>
    </row>
    <row r="43" spans="3:4" x14ac:dyDescent="0.3">
      <c r="C43" t="s">
        <v>186</v>
      </c>
      <c r="D43">
        <f>COUNTIF($F$3:$G$26:$L$3:$M$26:$R$3:$S$25:$X$3:$Y$25,$C43)</f>
        <v>5</v>
      </c>
    </row>
    <row r="44" spans="3:4" x14ac:dyDescent="0.3">
      <c r="C44" t="s">
        <v>187</v>
      </c>
      <c r="D44">
        <f>COUNTIF($F$3:$G$26:$L$3:$M$26:$R$3:$S$25:$X$3:$Y$25,$C44)</f>
        <v>0</v>
      </c>
    </row>
    <row r="45" spans="3:4" x14ac:dyDescent="0.3">
      <c r="C45" s="33" t="s">
        <v>183</v>
      </c>
      <c r="D45" s="33">
        <f>COUNTIF($F$3:$G$26:$L$3:$M$26:$R$3:$S$25:$X$3:$Y$25,$C45)</f>
        <v>14</v>
      </c>
    </row>
    <row r="46" spans="3:4" x14ac:dyDescent="0.3">
      <c r="C46" s="33" t="s">
        <v>188</v>
      </c>
      <c r="D46" s="33">
        <f>COUNTIF($F$3:$G$26:$L$3:$M$26:$R$3:$S$25:$X$3:$Y$25,$C46)</f>
        <v>0</v>
      </c>
    </row>
    <row r="47" spans="3:4" x14ac:dyDescent="0.3">
      <c r="C47" s="33" t="s">
        <v>174</v>
      </c>
      <c r="D47" s="33">
        <f>COUNTIF($F$3:$G$26:$L$3:$M$26:$R$3:$S$25:$X$3:$Y$25,$C47)</f>
        <v>7</v>
      </c>
    </row>
    <row r="48" spans="3:4" x14ac:dyDescent="0.3">
      <c r="C48" t="s">
        <v>185</v>
      </c>
      <c r="D48">
        <f>COUNTIF($F$3:$G$26:$L$3:$M$26:$R$3:$S$25:$X$3:$Y$25,$C48)</f>
        <v>2</v>
      </c>
    </row>
  </sheetData>
  <sheetProtection sheet="1" objects="1" scenarios="1"/>
  <mergeCells count="16">
    <mergeCell ref="P20:W20"/>
    <mergeCell ref="D21:K21"/>
    <mergeCell ref="D7:K7"/>
    <mergeCell ref="D14:K14"/>
    <mergeCell ref="P14:W14"/>
    <mergeCell ref="D16:E16"/>
    <mergeCell ref="J16:K16"/>
    <mergeCell ref="P16:Q16"/>
    <mergeCell ref="V16:W16"/>
    <mergeCell ref="P6:W6"/>
    <mergeCell ref="D1:E1"/>
    <mergeCell ref="J1:K1"/>
    <mergeCell ref="P1:Q1"/>
    <mergeCell ref="V1:W1"/>
    <mergeCell ref="B2:M2"/>
    <mergeCell ref="O2:Z2"/>
  </mergeCells>
  <conditionalFormatting sqref="B3:B27">
    <cfRule type="cellIs" dxfId="26" priority="4" operator="greaterThan">
      <formula>0</formula>
    </cfRule>
    <cfRule type="cellIs" dxfId="25" priority="5" operator="equal">
      <formula>0</formula>
    </cfRule>
  </conditionalFormatting>
  <conditionalFormatting sqref="I26">
    <cfRule type="expression" dxfId="24" priority="10">
      <formula>COUNTIF($C25:$Y25,I26)&gt;1</formula>
    </cfRule>
  </conditionalFormatting>
  <conditionalFormatting sqref="N3:Y3 C3:M6 N4:Q5 S4:Y5 N6:Y6 C7:Y7 C8:W8 Y8 C9:Y24 C25:H26 J25:Y26 C27:Y27">
    <cfRule type="expression" dxfId="23" priority="6">
      <formula>COUNTIF($C3:$Y3,C3)&gt;1</formula>
    </cfRule>
  </conditionalFormatting>
  <conditionalFormatting sqref="R4:R5 I25">
    <cfRule type="expression" dxfId="22" priority="8">
      <formula>COUNTIF($C5:$Y5,I4)&gt;1</formula>
    </cfRule>
  </conditionalFormatting>
  <conditionalFormatting sqref="X8">
    <cfRule type="expression" dxfId="21" priority="3">
      <formula>COUNTIF($C9:$Y9,X8)&gt;1</formula>
    </cfRule>
  </conditionalFormatting>
  <dataValidations count="1">
    <dataValidation type="list" allowBlank="1" showInputMessage="1" showErrorMessage="1" sqref="F22:G26 F3:G6 R7:S13 X17:Y19 L8:M13 L3:M6 X7:Y13 R17:S19 R21:S25 F17:G20 X21:Y25 X3:Y5 F8:G13 R3:S5 L17:M26" xr:uid="{998523B8-D339-4B1A-A632-6B138A4BC8D7}">
      <formula1>$C$32:$C$48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5E30-BB66-4D7C-A345-C2003381C6EA}">
  <dimension ref="A1:N78"/>
  <sheetViews>
    <sheetView workbookViewId="0">
      <selection activeCell="G36" sqref="G36"/>
    </sheetView>
  </sheetViews>
  <sheetFormatPr defaultRowHeight="14.4" x14ac:dyDescent="0.3"/>
  <cols>
    <col min="1" max="1" width="6.109375" bestFit="1" customWidth="1"/>
    <col min="2" max="2" width="0.33203125" customWidth="1"/>
    <col min="3" max="3" width="13.44140625" bestFit="1" customWidth="1"/>
    <col min="4" max="4" width="15.88671875" bestFit="1" customWidth="1"/>
    <col min="5" max="6" width="18.109375" bestFit="1" customWidth="1"/>
    <col min="7" max="7" width="16.88671875" customWidth="1"/>
    <col min="8" max="8" width="0.6640625" customWidth="1"/>
    <col min="9" max="9" width="17.44140625" bestFit="1" customWidth="1"/>
    <col min="10" max="11" width="17.6640625" bestFit="1" customWidth="1"/>
    <col min="12" max="12" width="18.109375" bestFit="1" customWidth="1"/>
    <col min="13" max="13" width="15.88671875" bestFit="1" customWidth="1"/>
  </cols>
  <sheetData>
    <row r="1" spans="1:13" ht="15.6" x14ac:dyDescent="0.3">
      <c r="A1" s="1" t="str" cm="1">
        <f t="array" ref="A1:M27">Domartillsättning!A1:M27</f>
        <v>Sat:</v>
      </c>
      <c r="B1">
        <v>0</v>
      </c>
      <c r="C1" s="31">
        <v>0</v>
      </c>
      <c r="D1" s="40" t="str">
        <v>Alfa Main</v>
      </c>
      <c r="E1" s="41">
        <v>0</v>
      </c>
      <c r="F1" s="10" t="str">
        <v>Domare 1</v>
      </c>
      <c r="G1" s="10" t="str">
        <v>Domare 2</v>
      </c>
      <c r="H1">
        <v>0</v>
      </c>
      <c r="I1" s="31">
        <v>0</v>
      </c>
      <c r="J1" s="40" t="str">
        <v>Humana</v>
      </c>
      <c r="K1" s="41">
        <v>0</v>
      </c>
      <c r="L1" s="10" t="str">
        <v>Domare 1</v>
      </c>
      <c r="M1" s="10" t="str">
        <v>Domare 2</v>
      </c>
    </row>
    <row r="2" spans="1:13" ht="15.6" x14ac:dyDescent="0.3">
      <c r="A2" s="9">
        <v>0.36458333333333331</v>
      </c>
      <c r="B2" s="43" t="str">
        <v>Opening Ceremony</v>
      </c>
      <c r="C2" s="44">
        <v>0</v>
      </c>
      <c r="D2" s="44">
        <v>0</v>
      </c>
      <c r="E2" s="44">
        <v>0</v>
      </c>
      <c r="F2" s="44">
        <v>0</v>
      </c>
      <c r="G2" s="44">
        <v>0</v>
      </c>
      <c r="H2" s="44">
        <v>0</v>
      </c>
      <c r="I2" s="44">
        <v>0</v>
      </c>
      <c r="J2" s="44">
        <v>0</v>
      </c>
      <c r="K2" s="44">
        <v>0</v>
      </c>
      <c r="L2" s="44">
        <v>0</v>
      </c>
      <c r="M2" s="45">
        <v>0</v>
      </c>
    </row>
    <row r="3" spans="1:13" ht="15.6" x14ac:dyDescent="0.3">
      <c r="A3" s="9">
        <v>0.40625</v>
      </c>
      <c r="B3">
        <v>0</v>
      </c>
      <c r="C3" s="31" t="str">
        <v>DIV 1 GRUOP A</v>
      </c>
      <c r="D3" s="11" t="str">
        <v>Alberta 2</v>
      </c>
      <c r="E3" s="11" t="str">
        <v>Ontario </v>
      </c>
      <c r="F3" s="17" t="str">
        <v>Espen Hoff</v>
      </c>
      <c r="G3" s="17" t="str">
        <v>Magnus Undén</v>
      </c>
      <c r="H3" s="17">
        <v>0</v>
      </c>
      <c r="I3" s="31" t="str">
        <v>DIV 1 GRUOP A</v>
      </c>
      <c r="J3" s="11" t="str">
        <v>FIFH Malmö 3 </v>
      </c>
      <c r="K3" s="11" t="str">
        <v>IFAH 3</v>
      </c>
      <c r="L3" s="17" t="str">
        <v>Mats Fernlund</v>
      </c>
      <c r="M3" s="17" t="str">
        <v>Reine Schröder</v>
      </c>
    </row>
    <row r="4" spans="1:13" ht="15.6" x14ac:dyDescent="0.3">
      <c r="A4" s="9">
        <v>0.4375</v>
      </c>
      <c r="B4">
        <v>0</v>
      </c>
      <c r="C4" s="31" t="str">
        <v>ELITE GROUP A</v>
      </c>
      <c r="D4" s="19" t="str">
        <v>IFAH 1</v>
      </c>
      <c r="E4" s="19" t="str">
        <v>KF Heros 1</v>
      </c>
      <c r="F4" s="17" t="str">
        <v>Espen Hoff</v>
      </c>
      <c r="G4" s="17" t="str">
        <v>Magnus Undén</v>
      </c>
      <c r="H4" s="17">
        <v>0</v>
      </c>
      <c r="I4" s="31" t="str">
        <v>ELITE GROUP A</v>
      </c>
      <c r="J4" s="19" t="str">
        <v>BHV Tigers</v>
      </c>
      <c r="K4" s="19" t="str">
        <v>Aabenraa</v>
      </c>
      <c r="L4" s="17" t="str">
        <v>Kristoffer Stormark</v>
      </c>
      <c r="M4" s="17" t="str">
        <v>Reine Schröder</v>
      </c>
    </row>
    <row r="5" spans="1:13" ht="15.6" x14ac:dyDescent="0.3">
      <c r="A5" s="9">
        <v>0.46875</v>
      </c>
      <c r="B5">
        <v>0</v>
      </c>
      <c r="C5" s="31" t="str">
        <v>DIV 1 GRUOP A</v>
      </c>
      <c r="D5" s="11" t="str">
        <v>Boston</v>
      </c>
      <c r="E5" s="11" t="str">
        <v>IFAH 3</v>
      </c>
      <c r="F5" s="17" t="str">
        <v>Mats Fernlund</v>
      </c>
      <c r="G5" s="17" t="str">
        <v>Magnus Undén</v>
      </c>
      <c r="H5" s="17">
        <v>0</v>
      </c>
      <c r="I5" s="31" t="str">
        <v>DIV 1 GRUOP A</v>
      </c>
      <c r="J5" s="11" t="str">
        <v>Ontario </v>
      </c>
      <c r="K5" s="11" t="str">
        <v>FIFH Malmö 3 </v>
      </c>
      <c r="L5" s="17" t="str">
        <v>Jim A.Nymoen</v>
      </c>
      <c r="M5" s="17" t="str">
        <v>Reine Schröder</v>
      </c>
    </row>
    <row r="6" spans="1:13" ht="15.6" x14ac:dyDescent="0.3">
      <c r="A6" s="9">
        <v>0.5</v>
      </c>
      <c r="B6">
        <v>0</v>
      </c>
      <c r="C6" s="31" t="str">
        <v>MAJOR GROUP A</v>
      </c>
      <c r="D6" s="21" t="str">
        <v>Aabenraa 2 </v>
      </c>
      <c r="E6" s="21" t="str">
        <v>Norrköping Rhinos</v>
      </c>
      <c r="F6" s="17" t="str">
        <v>Jim A.Nymoen</v>
      </c>
      <c r="G6" s="17" t="str">
        <v>Magnus Undén</v>
      </c>
      <c r="H6" s="17">
        <v>0</v>
      </c>
      <c r="I6" s="31" t="str">
        <v>MAJOR GROUP A</v>
      </c>
      <c r="J6" s="21" t="str">
        <v>IFAH 2</v>
      </c>
      <c r="K6" s="21" t="str">
        <v>Lilleström </v>
      </c>
      <c r="L6" s="17" t="str">
        <v>Espen Hoff</v>
      </c>
      <c r="M6" s="17" t="str">
        <v>Reine Schröder</v>
      </c>
    </row>
    <row r="7" spans="1:13" ht="15.6" x14ac:dyDescent="0.3">
      <c r="A7" s="9">
        <v>0.53125</v>
      </c>
      <c r="B7">
        <v>0</v>
      </c>
      <c r="C7" s="31">
        <v>0</v>
      </c>
      <c r="D7" s="42" t="str">
        <v>LUNCH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17">
        <v>0</v>
      </c>
      <c r="M7" s="17">
        <v>0</v>
      </c>
    </row>
    <row r="8" spans="1:13" ht="15.6" x14ac:dyDescent="0.3">
      <c r="A8" s="9">
        <v>0.5625</v>
      </c>
      <c r="B8">
        <v>0</v>
      </c>
      <c r="C8" s="31" t="str">
        <v>ELITE GROUP B</v>
      </c>
      <c r="D8" s="14" t="str">
        <v>BHV Lions</v>
      </c>
      <c r="E8" s="14" t="str">
        <v>FIFH Malmö 1</v>
      </c>
      <c r="F8" s="17" t="str">
        <v>Kristoffer Stormark</v>
      </c>
      <c r="G8" s="17" t="str">
        <v>Håkan Elveljung</v>
      </c>
      <c r="H8" s="17">
        <v>0</v>
      </c>
      <c r="I8" s="31" t="str">
        <v>ELITE GROUP B</v>
      </c>
      <c r="J8" s="14" t="str">
        <v>Arendal </v>
      </c>
      <c r="K8" s="14" t="str">
        <v>Gårslev </v>
      </c>
      <c r="L8" s="17" t="str">
        <v>Jonas Örevik</v>
      </c>
      <c r="M8" s="17" t="str">
        <v>Jim A.Nymoen</v>
      </c>
    </row>
    <row r="9" spans="1:13" ht="15.6" x14ac:dyDescent="0.3">
      <c r="A9" s="9">
        <v>0.59375</v>
      </c>
      <c r="B9">
        <v>0</v>
      </c>
      <c r="C9" s="31" t="str">
        <v>MAJOR GROUP B</v>
      </c>
      <c r="D9" s="16" t="str">
        <v>Gårslev 2 </v>
      </c>
      <c r="E9" s="16" t="str">
        <v>FIFH Malmö 2 </v>
      </c>
      <c r="F9" s="17" t="str">
        <v>Andreas Sjöberg</v>
      </c>
      <c r="G9" s="17" t="str">
        <v>Oliver Parment</v>
      </c>
      <c r="H9" s="17">
        <v>0</v>
      </c>
      <c r="I9" s="31" t="str">
        <v>MAJOR GROUP B</v>
      </c>
      <c r="J9" s="16" t="str">
        <v>Eskilstuna Tanks </v>
      </c>
      <c r="K9" s="16" t="str">
        <v>Umeå Wolfs</v>
      </c>
      <c r="L9" s="17" t="str">
        <v>Magnus Undén</v>
      </c>
      <c r="M9" s="17" t="str">
        <v>Reine Schröder</v>
      </c>
    </row>
    <row r="10" spans="1:13" ht="15.6" x14ac:dyDescent="0.3">
      <c r="A10" s="9">
        <v>0.625</v>
      </c>
      <c r="B10">
        <v>0</v>
      </c>
      <c r="C10" s="31" t="str">
        <v>DIV 1 GRUOP B</v>
      </c>
      <c r="D10" s="12" t="str">
        <v>KF Heros 2 </v>
      </c>
      <c r="E10" s="12" t="str">
        <v>Eskilstuna Tanks 2 </v>
      </c>
      <c r="F10" s="17" t="str">
        <v>Jim A.Nymoen</v>
      </c>
      <c r="G10" s="17" t="str">
        <v>Oliver Parment</v>
      </c>
      <c r="H10" s="17">
        <v>0</v>
      </c>
      <c r="I10" s="31" t="str">
        <v>DIV 1 GRUOP B</v>
      </c>
      <c r="J10" s="12" t="str">
        <v>Boston 2</v>
      </c>
      <c r="K10" s="12" t="str">
        <v>Alberta 1</v>
      </c>
      <c r="L10" s="17" t="str">
        <v>Magnus Undén</v>
      </c>
      <c r="M10" s="17" t="str">
        <v>Andreas Sjöberg</v>
      </c>
    </row>
    <row r="11" spans="1:13" ht="15.6" x14ac:dyDescent="0.3">
      <c r="A11" s="9">
        <v>0.65625</v>
      </c>
      <c r="B11">
        <v>0</v>
      </c>
      <c r="C11" s="31" t="str">
        <v>ELITE GROUP A</v>
      </c>
      <c r="D11" s="13" t="str">
        <v>IFAH 1</v>
      </c>
      <c r="E11" s="13" t="str">
        <v>Aabenraa</v>
      </c>
      <c r="F11" s="17" t="str">
        <v>Kristoffer Stormark</v>
      </c>
      <c r="G11" s="17" t="str">
        <v>Jim A.Nymoen</v>
      </c>
      <c r="H11" s="17">
        <v>0</v>
      </c>
      <c r="I11" s="31" t="str">
        <v>ELITE GROUP A</v>
      </c>
      <c r="J11" s="13" t="str">
        <v>KF Heros 1</v>
      </c>
      <c r="K11" s="13" t="str">
        <v>BHV Tigers</v>
      </c>
      <c r="L11" s="17" t="str">
        <v>Jörgen Johannsen</v>
      </c>
      <c r="M11" s="17" t="str">
        <v>Inge Haukom</v>
      </c>
    </row>
    <row r="12" spans="1:13" ht="15.6" x14ac:dyDescent="0.3">
      <c r="A12" s="9">
        <v>0.6875</v>
      </c>
      <c r="B12">
        <v>0</v>
      </c>
      <c r="C12" s="31" t="str">
        <v>MAJOR GROUP A</v>
      </c>
      <c r="D12" s="15" t="str">
        <v>Aabenraa 2 </v>
      </c>
      <c r="E12" s="15" t="str">
        <v>Lilleström </v>
      </c>
      <c r="F12" s="17" t="str">
        <v>Reine Schröder</v>
      </c>
      <c r="G12" s="17" t="str">
        <v>Oliver Parment</v>
      </c>
      <c r="H12" s="17">
        <v>0</v>
      </c>
      <c r="I12" s="31" t="str">
        <v>MAJOR GROUP A</v>
      </c>
      <c r="J12" s="15" t="str">
        <v>IFAH 2</v>
      </c>
      <c r="K12" s="15" t="str">
        <v>Norrköping Rhinos</v>
      </c>
      <c r="L12" s="17" t="str">
        <v>Andreas Sjöberg</v>
      </c>
      <c r="M12" s="17" t="str">
        <v>Magnus Undén</v>
      </c>
    </row>
    <row r="13" spans="1:13" ht="15.6" x14ac:dyDescent="0.3">
      <c r="A13" s="9">
        <v>0.71875</v>
      </c>
      <c r="B13">
        <v>0</v>
      </c>
      <c r="C13" s="31" t="str">
        <v>DIV 1 GRUOP A</v>
      </c>
      <c r="D13" s="11" t="str">
        <v>Boston</v>
      </c>
      <c r="E13" s="11" t="str">
        <v>Alberta 2</v>
      </c>
      <c r="F13" s="17" t="str">
        <v>Reine Schröder</v>
      </c>
      <c r="G13" s="17" t="str">
        <v>Oliver Parment</v>
      </c>
      <c r="H13" s="17">
        <v>0</v>
      </c>
      <c r="I13" s="31" t="str">
        <v>DIV 1 GRUOP A</v>
      </c>
      <c r="J13" s="11" t="str">
        <v>IFAH 3</v>
      </c>
      <c r="K13" s="11" t="str">
        <v>Ontario </v>
      </c>
      <c r="L13" s="17" t="str">
        <v>Andreas Sjöberg</v>
      </c>
      <c r="M13" s="17" t="str">
        <v>Magnus Undén</v>
      </c>
    </row>
    <row r="14" spans="1:13" ht="15.6" x14ac:dyDescent="0.3">
      <c r="A14" s="9">
        <v>0.76041666666666663</v>
      </c>
      <c r="B14">
        <v>0</v>
      </c>
      <c r="C14" s="31">
        <v>0</v>
      </c>
      <c r="D14" s="42" t="str">
        <v>DINNER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10">
        <v>0</v>
      </c>
      <c r="M14" s="10">
        <v>0</v>
      </c>
    </row>
    <row r="15" spans="1:13" x14ac:dyDescent="0.3">
      <c r="A15">
        <v>0</v>
      </c>
      <c r="B15">
        <v>0</v>
      </c>
      <c r="C15" s="31">
        <v>0</v>
      </c>
      <c r="D15">
        <v>0</v>
      </c>
      <c r="E15">
        <v>0</v>
      </c>
      <c r="F15" s="10">
        <v>0</v>
      </c>
      <c r="G15" s="10">
        <v>0</v>
      </c>
      <c r="H15">
        <v>0</v>
      </c>
      <c r="I15" s="31">
        <v>0</v>
      </c>
      <c r="J15">
        <v>0</v>
      </c>
      <c r="K15">
        <v>0</v>
      </c>
      <c r="L15" s="10">
        <v>0</v>
      </c>
      <c r="M15" s="10">
        <v>0</v>
      </c>
    </row>
    <row r="16" spans="1:13" ht="15.6" x14ac:dyDescent="0.3">
      <c r="A16" s="9" t="str">
        <v>Sun</v>
      </c>
      <c r="B16">
        <v>0</v>
      </c>
      <c r="C16" s="31">
        <v>0</v>
      </c>
      <c r="D16" s="40" t="str">
        <v>Alfa Main</v>
      </c>
      <c r="E16" s="41">
        <v>0</v>
      </c>
      <c r="F16" s="10">
        <v>0</v>
      </c>
      <c r="G16" s="10">
        <v>0</v>
      </c>
      <c r="H16">
        <v>0</v>
      </c>
      <c r="I16" s="31">
        <v>0</v>
      </c>
      <c r="J16" s="40" t="str">
        <v>Humana</v>
      </c>
      <c r="K16" s="41">
        <v>0</v>
      </c>
      <c r="L16" s="10">
        <v>0</v>
      </c>
      <c r="M16" s="10">
        <v>0</v>
      </c>
    </row>
    <row r="17" spans="1:13" ht="15.6" x14ac:dyDescent="0.3">
      <c r="A17" s="9">
        <v>0.375</v>
      </c>
      <c r="B17">
        <v>0</v>
      </c>
      <c r="C17" s="31" t="str">
        <v>DIV 2 SF 1</v>
      </c>
      <c r="D17" s="27" t="str">
        <v>GA 3</v>
      </c>
      <c r="E17" s="27" t="str">
        <v>GB 4</v>
      </c>
      <c r="F17" s="17" t="str">
        <v>Reine Schröder</v>
      </c>
      <c r="G17" s="17" t="str">
        <v>Elias Parment</v>
      </c>
      <c r="H17" s="17">
        <v>0</v>
      </c>
      <c r="I17" s="31" t="str">
        <v>DIV 2 SF 2</v>
      </c>
      <c r="J17" s="27" t="str">
        <v>GB 3</v>
      </c>
      <c r="K17" s="27" t="str">
        <v>GA 4</v>
      </c>
      <c r="L17" s="17" t="str">
        <v>Oliver Parment</v>
      </c>
      <c r="M17" s="17" t="str">
        <v>Mats Fernlund</v>
      </c>
    </row>
    <row r="18" spans="1:13" ht="15.6" x14ac:dyDescent="0.3">
      <c r="A18" s="9">
        <v>0.40625</v>
      </c>
      <c r="B18">
        <v>0</v>
      </c>
      <c r="C18" s="31" t="str">
        <v>MAJOR QF 1</v>
      </c>
      <c r="D18" s="30" t="str">
        <v>GA 1</v>
      </c>
      <c r="E18" s="30" t="str">
        <v>GB 4</v>
      </c>
      <c r="F18" s="17" t="str">
        <v>Reine Schröder</v>
      </c>
      <c r="G18" s="17" t="str">
        <v>Elias Parment</v>
      </c>
      <c r="H18" s="17">
        <v>0</v>
      </c>
      <c r="I18" s="32" t="str">
        <v>MAJOR QF 2</v>
      </c>
      <c r="J18" s="30" t="str">
        <v>GB 1</v>
      </c>
      <c r="K18" s="30" t="str">
        <v>GA 4</v>
      </c>
      <c r="L18" s="17" t="str">
        <v>Oliver Parment</v>
      </c>
      <c r="M18" s="17" t="str">
        <v>Inge Haukom</v>
      </c>
    </row>
    <row r="19" spans="1:13" ht="15.6" x14ac:dyDescent="0.3">
      <c r="A19" s="9">
        <v>0.4375</v>
      </c>
      <c r="B19">
        <v>0</v>
      </c>
      <c r="C19" s="31" t="str">
        <v>ELITE QF 1</v>
      </c>
      <c r="D19" s="29" t="str">
        <v>GA 1</v>
      </c>
      <c r="E19" s="29" t="str">
        <v>GB 4</v>
      </c>
      <c r="F19" s="17" t="str">
        <v>Kristoffer Stormark</v>
      </c>
      <c r="G19" s="17" t="str">
        <v>Magnus Undén</v>
      </c>
      <c r="H19" s="17">
        <v>0</v>
      </c>
      <c r="I19" s="32" t="str">
        <v>DIV 2 BRONZE 1</v>
      </c>
      <c r="J19" s="27" t="str">
        <v>L SF 1</v>
      </c>
      <c r="K19" s="27" t="str">
        <v>L SF 2</v>
      </c>
      <c r="L19" s="17" t="str">
        <v>Oliver Parment</v>
      </c>
      <c r="M19" s="17" t="str">
        <v>Elias Parment</v>
      </c>
    </row>
    <row r="20" spans="1:13" ht="15.6" x14ac:dyDescent="0.3">
      <c r="A20" s="9">
        <v>0.46875</v>
      </c>
      <c r="B20">
        <v>0</v>
      </c>
      <c r="C20" s="31" t="str">
        <v>DIV 1 BRONZE</v>
      </c>
      <c r="D20" s="28" t="str">
        <v>L SF 1</v>
      </c>
      <c r="E20" s="28" t="str">
        <v>L SF 2</v>
      </c>
      <c r="F20" s="17" t="str">
        <v>Elias Parment</v>
      </c>
      <c r="G20" s="17" t="str">
        <v>Magnus Undén</v>
      </c>
      <c r="H20" s="17">
        <v>0</v>
      </c>
      <c r="I20" s="32" t="str">
        <v>ELITE QF 2</v>
      </c>
      <c r="J20" s="29" t="str">
        <v>GB 1</v>
      </c>
      <c r="K20" s="29" t="str">
        <v>GA 4</v>
      </c>
      <c r="L20" s="17" t="str">
        <v>Kristoffer Stormark</v>
      </c>
      <c r="M20" s="17" t="str">
        <v>Andreas Sjöberg</v>
      </c>
    </row>
    <row r="21" spans="1:13" ht="15.6" x14ac:dyDescent="0.3">
      <c r="A21" s="9">
        <v>0.5</v>
      </c>
      <c r="B21">
        <v>0</v>
      </c>
      <c r="C21" s="31">
        <v>0</v>
      </c>
      <c r="D21" s="42" t="str">
        <v>LUNCH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17">
        <v>0</v>
      </c>
      <c r="M21" s="17">
        <v>0</v>
      </c>
    </row>
    <row r="22" spans="1:13" ht="15.6" x14ac:dyDescent="0.3">
      <c r="A22" s="9">
        <v>0.53125</v>
      </c>
      <c r="B22">
        <v>0</v>
      </c>
      <c r="C22" s="31" t="str">
        <v>MAJOR PQ 1</v>
      </c>
      <c r="D22" s="30" t="str">
        <v>L QF 1</v>
      </c>
      <c r="E22" s="30" t="str">
        <v>L QF 3</v>
      </c>
      <c r="F22" s="10" t="str">
        <v>Oliver Parment</v>
      </c>
      <c r="G22" s="10" t="str">
        <v>Andreas Sjöberg</v>
      </c>
      <c r="H22">
        <v>0</v>
      </c>
      <c r="I22" s="31" t="str">
        <v>MAJOR QF 2</v>
      </c>
      <c r="J22" s="30" t="str">
        <v>L QF 2</v>
      </c>
      <c r="K22" s="30" t="str">
        <v>L QF 4</v>
      </c>
      <c r="L22" s="17" t="str">
        <v>Elias Parment</v>
      </c>
      <c r="M22" s="17" t="str">
        <v>Espen Hoff</v>
      </c>
    </row>
    <row r="23" spans="1:13" ht="15.6" x14ac:dyDescent="0.3">
      <c r="A23" s="9">
        <v>0.5625</v>
      </c>
      <c r="B23">
        <v>0</v>
      </c>
      <c r="C23" s="31" t="str">
        <v>ELITE SF 1</v>
      </c>
      <c r="D23" s="29" t="str">
        <v>W QF 1</v>
      </c>
      <c r="E23" s="29" t="str">
        <v>W QF 3</v>
      </c>
      <c r="F23" s="17" t="str">
        <v>Kristoffer Stormark</v>
      </c>
      <c r="G23" s="17" t="str">
        <v>Andreas Sjöberg</v>
      </c>
      <c r="H23" s="17">
        <v>0</v>
      </c>
      <c r="I23" s="32" t="str">
        <v>ELITE SF 2</v>
      </c>
      <c r="J23" s="29" t="str">
        <v>W QF 2</v>
      </c>
      <c r="K23" s="29" t="str">
        <v>W QF 4</v>
      </c>
      <c r="L23" s="17" t="str">
        <v>Jörgen Johannsen</v>
      </c>
      <c r="M23" s="17" t="str">
        <v>Thomas Karlsson</v>
      </c>
    </row>
    <row r="24" spans="1:13" ht="15.6" x14ac:dyDescent="0.3">
      <c r="A24" s="9">
        <v>0.59375</v>
      </c>
      <c r="B24">
        <v>0</v>
      </c>
      <c r="C24" s="31" t="str">
        <v>DIV 1 FINAL</v>
      </c>
      <c r="D24" s="28" t="str">
        <v>W SF 1</v>
      </c>
      <c r="E24" s="28" t="str">
        <v>W SF 2</v>
      </c>
      <c r="F24" s="17" t="str">
        <v>Reine Schröder</v>
      </c>
      <c r="G24" s="17" t="str">
        <v>Magnus Undén</v>
      </c>
      <c r="H24" s="17">
        <v>0</v>
      </c>
      <c r="I24" s="32" t="str">
        <v>DIV 2 FINAL</v>
      </c>
      <c r="J24" s="27" t="str">
        <v>W SF 1</v>
      </c>
      <c r="K24" s="27" t="str">
        <v>W SF 2</v>
      </c>
      <c r="L24" s="17" t="str">
        <v>Elias Parment</v>
      </c>
      <c r="M24" s="17" t="str">
        <v>Oliver Parment</v>
      </c>
    </row>
    <row r="25" spans="1:13" ht="15.6" x14ac:dyDescent="0.3">
      <c r="A25" s="9">
        <v>0.63541666666666663</v>
      </c>
      <c r="B25">
        <v>0</v>
      </c>
      <c r="C25" s="31" t="str">
        <v>MAJOR FINAL</v>
      </c>
      <c r="D25" s="30" t="str">
        <v>W SF 1</v>
      </c>
      <c r="E25" s="30" t="str">
        <v>W SF 2</v>
      </c>
      <c r="F25" s="17" t="str">
        <v>Håkan Elveljung</v>
      </c>
      <c r="G25" s="17" t="str">
        <v>Jim A.Nymoen</v>
      </c>
      <c r="H25" s="17">
        <v>0</v>
      </c>
      <c r="I25" s="32" t="str">
        <v>ELITE BRONZE</v>
      </c>
      <c r="J25" s="29" t="str">
        <v>L SF 1</v>
      </c>
      <c r="K25" s="29" t="str">
        <v>L SF 2</v>
      </c>
      <c r="L25" s="17" t="str">
        <v>Kristoffer Stormark</v>
      </c>
      <c r="M25" s="17" t="str">
        <v>Espen Hoff</v>
      </c>
    </row>
    <row r="26" spans="1:13" ht="15.6" x14ac:dyDescent="0.3">
      <c r="A26" s="9">
        <v>0.67708333333333337</v>
      </c>
      <c r="B26">
        <v>0</v>
      </c>
      <c r="C26" s="31" t="str">
        <v>ELITE FINAL</v>
      </c>
      <c r="D26" s="29" t="str">
        <v>W SF 1</v>
      </c>
      <c r="E26" s="29" t="str">
        <v>W SF 2</v>
      </c>
      <c r="F26" s="17" t="str">
        <v>Kristoffer Stormark</v>
      </c>
      <c r="G26" s="17" t="str">
        <v>Jörgen Johannsen</v>
      </c>
      <c r="H26">
        <v>0</v>
      </c>
      <c r="I26" s="32" t="str">
        <v>MAJOR BRONZE</v>
      </c>
      <c r="J26" s="30" t="str">
        <v>L SF 1</v>
      </c>
      <c r="K26" s="30" t="str">
        <v>L SF 2</v>
      </c>
      <c r="L26" s="17" t="str">
        <v>Elias Parment</v>
      </c>
      <c r="M26" s="17" t="str">
        <v>Oliver Parment</v>
      </c>
    </row>
    <row r="27" spans="1:13" ht="15.6" x14ac:dyDescent="0.3">
      <c r="A27" s="9">
        <v>0.71875</v>
      </c>
      <c r="B27">
        <v>0</v>
      </c>
      <c r="C27" s="31">
        <v>0</v>
      </c>
      <c r="D27">
        <v>0</v>
      </c>
      <c r="E27">
        <v>0</v>
      </c>
      <c r="F27" s="10">
        <v>0</v>
      </c>
      <c r="G27" s="34">
        <v>0</v>
      </c>
      <c r="H27">
        <v>0</v>
      </c>
      <c r="I27">
        <v>0</v>
      </c>
      <c r="J27">
        <v>0</v>
      </c>
      <c r="K27" s="31">
        <v>0</v>
      </c>
      <c r="L27" s="10">
        <v>0</v>
      </c>
      <c r="M27" s="10">
        <v>0</v>
      </c>
    </row>
    <row r="52" spans="1:14" ht="15.6" x14ac:dyDescent="0.3">
      <c r="A52" s="1" t="str" cm="1">
        <f t="array" ref="A52:A78">A1:A27</f>
        <v>Sat:</v>
      </c>
      <c r="C52" s="31" cm="1">
        <f t="array" ref="C52:M78">Domartillsättning!O1:Y27</f>
        <v>0</v>
      </c>
      <c r="D52" s="40" t="str">
        <v>Scandic</v>
      </c>
      <c r="E52" s="41">
        <v>0</v>
      </c>
      <c r="F52" s="10" t="str">
        <v>Domare 1</v>
      </c>
      <c r="G52" s="10" t="str">
        <v>Domare 2</v>
      </c>
      <c r="H52">
        <v>0</v>
      </c>
      <c r="I52" s="31">
        <v>0</v>
      </c>
      <c r="J52" s="40" t="str">
        <v>Wallners</v>
      </c>
      <c r="K52" s="41">
        <v>0</v>
      </c>
      <c r="L52" s="10" t="str">
        <v>Domare 1</v>
      </c>
      <c r="M52" s="10" t="str">
        <v>Domare 2</v>
      </c>
    </row>
    <row r="53" spans="1:14" ht="15.6" x14ac:dyDescent="0.3">
      <c r="A53" s="9">
        <v>0.36458333333333331</v>
      </c>
      <c r="C53" s="43" t="str">
        <v>Opening Ceremony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5"/>
    </row>
    <row r="54" spans="1:14" ht="15.6" x14ac:dyDescent="0.3">
      <c r="A54" s="9">
        <v>0.40625</v>
      </c>
      <c r="C54" s="31" t="str">
        <v>ELITE GROUP B</v>
      </c>
      <c r="D54" s="18" t="str">
        <v>BHV Lions</v>
      </c>
      <c r="E54" s="18" t="str">
        <v>Gårslev </v>
      </c>
      <c r="F54" s="17" t="str">
        <v>Kristoffer Stormark</v>
      </c>
      <c r="G54" s="17" t="str">
        <v>Jörgen Johannsen</v>
      </c>
      <c r="H54" s="17">
        <v>0</v>
      </c>
      <c r="I54" s="31" t="str">
        <v>ELITE GROUP B</v>
      </c>
      <c r="J54" s="18" t="str">
        <v>FIFH Malmö 1</v>
      </c>
      <c r="K54" s="18" t="str">
        <v>Arendal </v>
      </c>
      <c r="L54" s="10" t="str">
        <v>Håkan Elveljung</v>
      </c>
      <c r="M54" s="10" t="str">
        <v>Jonas Örevik</v>
      </c>
    </row>
    <row r="55" spans="1:14" ht="15.6" x14ac:dyDescent="0.3">
      <c r="A55" s="9">
        <v>0.4375</v>
      </c>
      <c r="C55" s="31" t="str">
        <v>MAJOR GROUP B</v>
      </c>
      <c r="D55" s="20" t="str">
        <v>Gårslev 2 </v>
      </c>
      <c r="E55" s="20" t="str">
        <v>Umeå Wolfs</v>
      </c>
      <c r="F55" s="17" t="str">
        <v>Andreas Sjöberg</v>
      </c>
      <c r="G55" s="17" t="str">
        <v>Inge Haukom</v>
      </c>
      <c r="H55" s="17">
        <v>0</v>
      </c>
      <c r="I55" s="31" t="str">
        <v>MAJOR GROUP B</v>
      </c>
      <c r="J55" s="20" t="str">
        <v>FIFH Malmö 2 </v>
      </c>
      <c r="K55" s="20" t="str">
        <v>Eskilstuna Tanks </v>
      </c>
      <c r="L55" s="10" t="str">
        <v>Oliver Parment</v>
      </c>
      <c r="M55" s="10" t="str">
        <v>Elias Parment</v>
      </c>
    </row>
    <row r="56" spans="1:14" ht="15.6" x14ac:dyDescent="0.3">
      <c r="A56" s="9">
        <v>0.46875</v>
      </c>
      <c r="C56" s="31" t="str">
        <v>DIV 1 GRUOP B</v>
      </c>
      <c r="D56" s="12" t="str">
        <v>KF Heros 2 </v>
      </c>
      <c r="E56" s="12" t="str">
        <v>Alberta 1</v>
      </c>
      <c r="F56" s="17" t="str">
        <v>Andreas Sjöberg</v>
      </c>
      <c r="G56" s="17" t="str">
        <v>Inge Haukom</v>
      </c>
      <c r="H56" s="17">
        <v>0</v>
      </c>
      <c r="I56" s="31" t="str">
        <v>DIV 1 GRUOP B</v>
      </c>
      <c r="J56" s="12" t="str">
        <v>Eskilstuna Tanks 2 </v>
      </c>
      <c r="K56" s="12" t="str">
        <v>Boston 2</v>
      </c>
      <c r="L56" s="17" t="str">
        <v>Håkan Norberg</v>
      </c>
      <c r="M56" s="10" t="str">
        <v>Jonas Örevik</v>
      </c>
    </row>
    <row r="57" spans="1:14" ht="15.6" x14ac:dyDescent="0.3">
      <c r="A57" s="9">
        <v>0.5</v>
      </c>
      <c r="C57" s="32">
        <v>0</v>
      </c>
      <c r="D57" s="42" t="str">
        <v>LUNCH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10">
        <v>0</v>
      </c>
      <c r="M57" s="10">
        <v>0</v>
      </c>
    </row>
    <row r="58" spans="1:14" ht="15.6" x14ac:dyDescent="0.3">
      <c r="A58" s="9">
        <v>0.53125</v>
      </c>
      <c r="C58" s="31" t="str">
        <v>ELITE GROUP A</v>
      </c>
      <c r="D58" s="13" t="str">
        <v>IFAH 1</v>
      </c>
      <c r="E58" s="13" t="str">
        <v>BHV Tigers</v>
      </c>
      <c r="F58" s="17" t="str">
        <v>Jörgen Johannsen</v>
      </c>
      <c r="G58" s="17" t="str">
        <v>Kristoffer Stormark</v>
      </c>
      <c r="H58" s="17">
        <v>0</v>
      </c>
      <c r="I58" s="31" t="str">
        <v>ELITE GROUP A</v>
      </c>
      <c r="J58" s="13" t="str">
        <v>Aabenraa</v>
      </c>
      <c r="K58" s="13" t="str">
        <v>KF Heros 1</v>
      </c>
      <c r="L58" s="10" t="str">
        <v>Inge Haukom</v>
      </c>
      <c r="M58" s="10" t="str">
        <v>Espen Hoff</v>
      </c>
    </row>
    <row r="59" spans="1:14" ht="15.6" x14ac:dyDescent="0.3">
      <c r="A59" s="9">
        <v>0.5625</v>
      </c>
      <c r="C59" s="31" t="str">
        <v>DIV 1 GRUOP A</v>
      </c>
      <c r="D59" s="11" t="str">
        <v>Boston</v>
      </c>
      <c r="E59" s="11" t="str">
        <v>Ontario </v>
      </c>
      <c r="F59" s="17" t="str">
        <v>Thomas Karlsson</v>
      </c>
      <c r="G59" s="17" t="str">
        <v>Mats Fernlund</v>
      </c>
      <c r="H59">
        <v>0</v>
      </c>
      <c r="I59" s="31" t="str">
        <v>DIV 1 GRUOP A</v>
      </c>
      <c r="J59" s="11" t="str">
        <v>FIFH Malmö 3 </v>
      </c>
      <c r="K59" s="11" t="str">
        <v>Alberta 2</v>
      </c>
      <c r="L59" s="17" t="str">
        <v>Elias Parment</v>
      </c>
      <c r="M59" s="17" t="str">
        <v>Andreas Sjöberg</v>
      </c>
    </row>
    <row r="60" spans="1:14" ht="15.6" x14ac:dyDescent="0.3">
      <c r="A60" s="9">
        <v>0.59375</v>
      </c>
      <c r="C60" s="31" t="str">
        <v>MAJOR GROUP A</v>
      </c>
      <c r="D60" s="15" t="str">
        <v>Aabenraa 2 </v>
      </c>
      <c r="E60" s="15" t="str">
        <v>IFAH 2</v>
      </c>
      <c r="F60" s="17" t="str">
        <v>Jim A.Nymoen</v>
      </c>
      <c r="G60" s="17" t="str">
        <v>Jörgen Johannsen</v>
      </c>
      <c r="H60" s="17">
        <v>0</v>
      </c>
      <c r="I60" s="31" t="str">
        <v>MAJOR GROUP A</v>
      </c>
      <c r="J60" s="15" t="str">
        <v>Lilleström </v>
      </c>
      <c r="K60" s="15" t="str">
        <v>Norrköping Rhinos</v>
      </c>
      <c r="L60" s="17" t="str">
        <v>Elias Parment</v>
      </c>
      <c r="M60" s="17" t="str">
        <v>Espen Hoff</v>
      </c>
    </row>
    <row r="61" spans="1:14" ht="15.6" x14ac:dyDescent="0.3">
      <c r="A61" s="9">
        <v>0.625</v>
      </c>
      <c r="C61" s="31" t="str">
        <v>DIV 1 GRUOP A</v>
      </c>
      <c r="D61" s="11" t="str">
        <v>Boston</v>
      </c>
      <c r="E61" s="11" t="str">
        <v>FIFH Malmö 3 </v>
      </c>
      <c r="F61" s="17" t="str">
        <v>Mats Fernlund</v>
      </c>
      <c r="G61" s="17" t="str">
        <v>Thomas Karlsson</v>
      </c>
      <c r="H61" s="17">
        <v>0</v>
      </c>
      <c r="I61" s="31" t="str">
        <v>DIV 1 GRUOP A</v>
      </c>
      <c r="J61" s="11" t="str">
        <v>Alberta 2</v>
      </c>
      <c r="K61" s="11" t="str">
        <v>IFAH 3</v>
      </c>
      <c r="L61" s="17" t="str">
        <v>Elias Parment</v>
      </c>
      <c r="M61" s="17" t="str">
        <v>Reine Schröder</v>
      </c>
    </row>
    <row r="62" spans="1:14" ht="15.6" x14ac:dyDescent="0.3">
      <c r="A62" s="9">
        <v>0.65625</v>
      </c>
      <c r="C62" s="31" t="str">
        <v>MAJOR GROUP B</v>
      </c>
      <c r="D62" s="16" t="str">
        <v>Gårslev 2 </v>
      </c>
      <c r="E62" s="16" t="str">
        <v>Eskilstuna Tanks </v>
      </c>
      <c r="F62" s="17" t="str">
        <v>Elias Parment</v>
      </c>
      <c r="G62" s="17" t="str">
        <v>Håkan Norberg</v>
      </c>
      <c r="H62" s="17">
        <v>0</v>
      </c>
      <c r="I62" s="31" t="str">
        <v>MAJOR GROUP B</v>
      </c>
      <c r="J62" s="16" t="str">
        <v>FIFH Malmö 2 </v>
      </c>
      <c r="K62" s="16" t="str">
        <v>Umeå Wolfs</v>
      </c>
      <c r="L62" s="10" t="str">
        <v>Andreas Sjöberg</v>
      </c>
      <c r="M62" s="10" t="str">
        <v>Oliver Parment</v>
      </c>
    </row>
    <row r="63" spans="1:14" ht="15.6" x14ac:dyDescent="0.3">
      <c r="A63" s="9">
        <v>0.6875</v>
      </c>
      <c r="C63" s="31" t="str">
        <v>ELITE GROUP B</v>
      </c>
      <c r="D63" s="14" t="str">
        <v>BHV Lions</v>
      </c>
      <c r="E63" s="14" t="str">
        <v>Arendal </v>
      </c>
      <c r="F63" s="17" t="str">
        <v>Kristoffer Stormark</v>
      </c>
      <c r="G63" s="17" t="str">
        <v>Jörgen Johannsen</v>
      </c>
      <c r="H63" s="17">
        <v>0</v>
      </c>
      <c r="I63" s="31" t="str">
        <v>ELITE GROUP B</v>
      </c>
      <c r="J63" s="14" t="str">
        <v>FIFH Malmö 1</v>
      </c>
      <c r="K63" s="14" t="str">
        <v>Gårslev </v>
      </c>
      <c r="L63" s="10" t="str">
        <v>Håkan Elveljung</v>
      </c>
      <c r="M63" s="10" t="str">
        <v>Jim A.Nymoen</v>
      </c>
    </row>
    <row r="64" spans="1:14" ht="15.6" x14ac:dyDescent="0.3">
      <c r="A64" s="9">
        <v>0.71875</v>
      </c>
      <c r="C64" s="31" t="str">
        <v>DIV 1 GRUOP B</v>
      </c>
      <c r="D64" s="12" t="str">
        <v>KF Heros 2 </v>
      </c>
      <c r="E64" s="12" t="str">
        <v>Boston 2</v>
      </c>
      <c r="F64" s="17" t="str">
        <v>Jörgen Johannsen</v>
      </c>
      <c r="G64" s="17" t="str">
        <v>Mats Fernlund</v>
      </c>
      <c r="H64" s="17">
        <v>0</v>
      </c>
      <c r="I64" s="31" t="str">
        <v>DIV 1 GRUOP B</v>
      </c>
      <c r="J64" s="12" t="str">
        <v>Eskilstuna Tanks 2 </v>
      </c>
      <c r="K64" s="12" t="str">
        <v>Alberta 1</v>
      </c>
      <c r="L64" s="10" t="str">
        <v>Elias Parment</v>
      </c>
      <c r="M64" s="10" t="str">
        <v>Inge Haukom</v>
      </c>
    </row>
    <row r="65" spans="1:13" ht="15.6" x14ac:dyDescent="0.3">
      <c r="A65" s="9">
        <v>0.76041666666666663</v>
      </c>
      <c r="C65" s="31">
        <v>0</v>
      </c>
      <c r="D65" s="42" t="str">
        <v>DINNER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10">
        <v>0</v>
      </c>
      <c r="M65" s="10">
        <v>0</v>
      </c>
    </row>
    <row r="66" spans="1:13" x14ac:dyDescent="0.3">
      <c r="A66">
        <v>0</v>
      </c>
      <c r="C66" s="31">
        <v>0</v>
      </c>
      <c r="D66">
        <v>0</v>
      </c>
      <c r="E66">
        <v>0</v>
      </c>
      <c r="F66" s="10">
        <v>0</v>
      </c>
      <c r="G66" s="10">
        <v>0</v>
      </c>
      <c r="H66">
        <v>0</v>
      </c>
      <c r="I66" s="31">
        <v>0</v>
      </c>
      <c r="J66">
        <v>0</v>
      </c>
      <c r="K66">
        <v>0</v>
      </c>
      <c r="L66" s="10">
        <v>0</v>
      </c>
      <c r="M66" s="10">
        <v>0</v>
      </c>
    </row>
    <row r="67" spans="1:13" ht="15.6" x14ac:dyDescent="0.3">
      <c r="A67" s="9" t="str">
        <v>Sun</v>
      </c>
      <c r="C67" s="31">
        <v>0</v>
      </c>
      <c r="D67" s="40" t="str">
        <v>Scandic</v>
      </c>
      <c r="E67" s="41">
        <v>0</v>
      </c>
      <c r="F67" s="10">
        <v>0</v>
      </c>
      <c r="G67" s="10">
        <v>0</v>
      </c>
      <c r="H67">
        <v>0</v>
      </c>
      <c r="I67" s="31">
        <v>0</v>
      </c>
      <c r="J67" s="40" t="str">
        <v>Wallners</v>
      </c>
      <c r="K67" s="41">
        <v>0</v>
      </c>
      <c r="L67" s="10">
        <v>0</v>
      </c>
      <c r="M67" s="10">
        <v>0</v>
      </c>
    </row>
    <row r="68" spans="1:13" ht="15.6" x14ac:dyDescent="0.3">
      <c r="A68" s="9">
        <v>0.375</v>
      </c>
      <c r="C68" s="32" t="str">
        <v>ELITE QF 3</v>
      </c>
      <c r="D68" s="29" t="str">
        <v>GA 2</v>
      </c>
      <c r="E68" s="29" t="str">
        <v>GB 3</v>
      </c>
      <c r="F68" s="10" t="str">
        <v>Kristoffer Stormark</v>
      </c>
      <c r="G68" s="10" t="str">
        <v>Jonas Örevik</v>
      </c>
      <c r="H68">
        <v>0</v>
      </c>
      <c r="I68" s="31" t="str">
        <v>ELITE QF 4</v>
      </c>
      <c r="J68" s="29" t="str">
        <v>GB 2</v>
      </c>
      <c r="K68" s="29" t="str">
        <v>GA 3</v>
      </c>
      <c r="L68" s="10" t="str">
        <v>Jim A.Nymoen</v>
      </c>
      <c r="M68" s="10" t="str">
        <v>Håkan Elveljung</v>
      </c>
    </row>
    <row r="69" spans="1:13" ht="15.6" x14ac:dyDescent="0.3">
      <c r="A69" s="9">
        <v>0.40625</v>
      </c>
      <c r="C69" s="32" t="str">
        <v>DIV 1 SF 1</v>
      </c>
      <c r="D69" s="28" t="str">
        <v>GA 1</v>
      </c>
      <c r="E69" s="28" t="str">
        <v>GB2</v>
      </c>
      <c r="F69" s="17" t="str">
        <v>Jim A.Nymoen</v>
      </c>
      <c r="G69" s="17" t="str">
        <v>Thomas Karlsson</v>
      </c>
      <c r="H69" s="17">
        <v>0</v>
      </c>
      <c r="I69" s="32" t="str">
        <v>DIV 1 SF 2</v>
      </c>
      <c r="J69" s="28" t="str">
        <v>GB 1</v>
      </c>
      <c r="K69" s="28" t="str">
        <v xml:space="preserve">GB2 </v>
      </c>
      <c r="L69" s="10" t="str">
        <v>Espen Hoff</v>
      </c>
      <c r="M69" s="10" t="str">
        <v>Andreas Sjöberg</v>
      </c>
    </row>
    <row r="70" spans="1:13" ht="15.6" x14ac:dyDescent="0.3">
      <c r="A70" s="9">
        <v>0.4375</v>
      </c>
      <c r="C70" s="32" t="str">
        <v>MAJOR QF 3</v>
      </c>
      <c r="D70" s="30" t="str">
        <v>GA 2</v>
      </c>
      <c r="E70" s="30" t="str">
        <v>GB 3</v>
      </c>
      <c r="F70" s="17" t="str">
        <v>Thomas Karlsson</v>
      </c>
      <c r="G70" s="17" t="str">
        <v>Inge Haukom</v>
      </c>
      <c r="H70" s="17">
        <v>0</v>
      </c>
      <c r="I70" s="32" t="str">
        <v>MAJOR QF 4</v>
      </c>
      <c r="J70" s="30" t="str">
        <v>GB 3</v>
      </c>
      <c r="K70" s="30" t="str">
        <v>GB 4</v>
      </c>
      <c r="L70" s="10" t="str">
        <v>Espen Hoff</v>
      </c>
      <c r="M70" s="10" t="str">
        <v>Andreas Sjöberg</v>
      </c>
    </row>
    <row r="71" spans="1:13" ht="15.6" x14ac:dyDescent="0.3">
      <c r="A71" s="9">
        <v>0.46875</v>
      </c>
      <c r="C71" s="32">
        <v>0</v>
      </c>
      <c r="D71" s="42" t="str">
        <v>LUNCH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10">
        <v>0</v>
      </c>
      <c r="M71" s="10">
        <v>0</v>
      </c>
    </row>
    <row r="72" spans="1:13" ht="15.6" x14ac:dyDescent="0.3">
      <c r="A72" s="9">
        <v>0.5</v>
      </c>
      <c r="C72" s="32" t="str">
        <v>DIV 2 BRONZE 2</v>
      </c>
      <c r="D72" s="27" t="str">
        <v>L SF 2</v>
      </c>
      <c r="E72" s="27" t="str">
        <v>GB 5</v>
      </c>
      <c r="F72" s="10" t="str">
        <v>Magnus Undén</v>
      </c>
      <c r="G72" s="10" t="str">
        <v>Reine Schröder</v>
      </c>
      <c r="H72">
        <v>0</v>
      </c>
      <c r="I72" s="31" t="str">
        <v>ELITE PQ 1</v>
      </c>
      <c r="J72" s="29" t="str">
        <v>L QF 1</v>
      </c>
      <c r="K72" s="29" t="str">
        <v>L QF 3</v>
      </c>
      <c r="L72" s="10" t="str">
        <v>Espen Hoff</v>
      </c>
      <c r="M72" s="10" t="str">
        <v>Jim A.Nymoen</v>
      </c>
    </row>
    <row r="73" spans="1:13" ht="15.6" x14ac:dyDescent="0.3">
      <c r="A73" s="9">
        <v>0.53125</v>
      </c>
      <c r="C73" s="32" t="str">
        <v>MAJOR SF 2</v>
      </c>
      <c r="D73" s="30" t="str">
        <v>W QF 2</v>
      </c>
      <c r="E73" s="30" t="str">
        <v>W QF 4</v>
      </c>
      <c r="F73" s="10" t="str">
        <v>Magnus Undén</v>
      </c>
      <c r="G73" s="10" t="str">
        <v>Reine Schröder</v>
      </c>
      <c r="H73" s="17">
        <v>0</v>
      </c>
      <c r="I73" s="31" t="str">
        <v>ELITE PQ 2</v>
      </c>
      <c r="J73" s="29" t="str">
        <v>L QF 2</v>
      </c>
      <c r="K73" s="29" t="str">
        <v>L QF 4</v>
      </c>
      <c r="L73" s="10" t="str">
        <v>Jörgen Johannsen</v>
      </c>
      <c r="M73" s="10" t="str">
        <v>Jonas Örevik</v>
      </c>
    </row>
    <row r="74" spans="1:13" ht="15.6" x14ac:dyDescent="0.3">
      <c r="A74" s="9">
        <v>0.5625</v>
      </c>
      <c r="C74" s="32" t="str">
        <v>DIV 2 BRONZE 3</v>
      </c>
      <c r="D74" s="27" t="str">
        <v>GB 5</v>
      </c>
      <c r="E74" s="27" t="str">
        <v>L SF 1</v>
      </c>
      <c r="F74" s="10" t="str">
        <v>Magnus Undén</v>
      </c>
      <c r="G74" s="10" t="str">
        <v>Reine Schröder</v>
      </c>
      <c r="H74" s="17">
        <v>0</v>
      </c>
      <c r="I74" s="32" t="str">
        <v>MAJOR SF 2</v>
      </c>
      <c r="J74" s="30" t="str">
        <v>W QF 1</v>
      </c>
      <c r="K74" s="30" t="str">
        <v>W QF 3</v>
      </c>
      <c r="L74" s="10" t="str">
        <v>Elias Parment</v>
      </c>
      <c r="M74" s="10" t="str">
        <v>Oliver Parment</v>
      </c>
    </row>
    <row r="75" spans="1:13" ht="15.6" x14ac:dyDescent="0.3">
      <c r="A75" s="9">
        <v>0.59375</v>
      </c>
      <c r="C75" s="32" t="str">
        <v>ELITE 7-8</v>
      </c>
      <c r="D75" s="29" t="str">
        <v>L PQ 1</v>
      </c>
      <c r="E75" s="29" t="str">
        <v>L PQ 2</v>
      </c>
      <c r="F75" s="17" t="str">
        <v>Jim A.Nymoen</v>
      </c>
      <c r="G75" s="17" t="str">
        <v>Jonas Örevik</v>
      </c>
      <c r="H75" s="17">
        <v>0</v>
      </c>
      <c r="I75" s="32" t="str">
        <v>ELITE 5-6</v>
      </c>
      <c r="J75" s="29" t="str">
        <v>W PQ 1</v>
      </c>
      <c r="K75" s="29" t="str">
        <v>W PQ 2</v>
      </c>
      <c r="L75" s="10" t="str">
        <v>Espen Hoff</v>
      </c>
      <c r="M75" s="10" t="str">
        <v>Jörgen Johannsen</v>
      </c>
    </row>
    <row r="76" spans="1:13" ht="15.6" x14ac:dyDescent="0.3">
      <c r="A76" s="9">
        <v>0.63541666666666663</v>
      </c>
      <c r="C76" s="32" t="str">
        <v>MAJOR 5-6</v>
      </c>
      <c r="D76" s="30" t="str">
        <v>W PQ 1</v>
      </c>
      <c r="E76" s="30" t="str">
        <v>W PQ 2</v>
      </c>
      <c r="F76" s="17" t="str">
        <v>Andreas Sjöberg</v>
      </c>
      <c r="G76" s="17" t="str">
        <v>Magnus Undén</v>
      </c>
      <c r="H76" s="17">
        <v>0</v>
      </c>
      <c r="I76" s="32" t="str">
        <v>MAJOR 7-8</v>
      </c>
      <c r="J76" s="30" t="str">
        <v>L PQ 1</v>
      </c>
      <c r="K76" s="30" t="str">
        <v>L PQ 2</v>
      </c>
      <c r="L76" s="10" t="str">
        <v>Oliver Parment</v>
      </c>
      <c r="M76" s="10" t="str">
        <v>Mats Fernlund</v>
      </c>
    </row>
    <row r="77" spans="1:13" ht="15.6" x14ac:dyDescent="0.3">
      <c r="A77" s="9">
        <v>0.67708333333333337</v>
      </c>
      <c r="C77" s="32">
        <v>0</v>
      </c>
      <c r="D77" s="17">
        <v>0</v>
      </c>
      <c r="E77" s="17">
        <v>0</v>
      </c>
      <c r="F77" s="10">
        <v>0</v>
      </c>
      <c r="G77" s="10">
        <v>0</v>
      </c>
      <c r="H77">
        <v>0</v>
      </c>
      <c r="I77">
        <v>0</v>
      </c>
      <c r="J77">
        <v>0</v>
      </c>
      <c r="K77">
        <v>0</v>
      </c>
      <c r="L77" s="10">
        <v>0</v>
      </c>
      <c r="M77" s="10">
        <v>0</v>
      </c>
    </row>
    <row r="78" spans="1:13" ht="15.6" x14ac:dyDescent="0.3">
      <c r="A78" s="9">
        <v>0.71875</v>
      </c>
      <c r="C78" s="31">
        <v>0</v>
      </c>
      <c r="D78">
        <v>0</v>
      </c>
      <c r="E78">
        <v>0</v>
      </c>
      <c r="F78" s="10">
        <v>0</v>
      </c>
      <c r="G78" s="10">
        <v>0</v>
      </c>
      <c r="H78">
        <v>0</v>
      </c>
      <c r="I78">
        <v>0</v>
      </c>
      <c r="J78">
        <v>0</v>
      </c>
      <c r="K78">
        <v>0</v>
      </c>
      <c r="L78" s="10">
        <v>0</v>
      </c>
      <c r="M78" s="10">
        <v>0</v>
      </c>
    </row>
  </sheetData>
  <sheetProtection sheet="1" objects="1" scenarios="1"/>
  <mergeCells count="16">
    <mergeCell ref="D1:E1"/>
    <mergeCell ref="J1:K1"/>
    <mergeCell ref="D21:K21"/>
    <mergeCell ref="B2:M2"/>
    <mergeCell ref="D7:K7"/>
    <mergeCell ref="D14:K14"/>
    <mergeCell ref="D16:E16"/>
    <mergeCell ref="J16:K16"/>
    <mergeCell ref="J67:K67"/>
    <mergeCell ref="C53:N53"/>
    <mergeCell ref="D57:K57"/>
    <mergeCell ref="D71:K71"/>
    <mergeCell ref="D52:E52"/>
    <mergeCell ref="J52:K52"/>
    <mergeCell ref="D65:K65"/>
    <mergeCell ref="D67:E67"/>
  </mergeCells>
  <conditionalFormatting sqref="A1:XFD1048576">
    <cfRule type="cellIs" dxfId="20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55EB-61CE-4A0F-93C2-6B0EA6F280CC}">
  <dimension ref="A1:R30"/>
  <sheetViews>
    <sheetView topLeftCell="F1" zoomScale="115" zoomScaleNormal="115" workbookViewId="0">
      <selection activeCell="H5" sqref="H5"/>
    </sheetView>
  </sheetViews>
  <sheetFormatPr defaultRowHeight="14.4" x14ac:dyDescent="0.3"/>
  <cols>
    <col min="1" max="1" width="0" hidden="1" customWidth="1"/>
    <col min="2" max="2" width="18.109375" hidden="1" customWidth="1"/>
    <col min="3" max="3" width="0" hidden="1" customWidth="1"/>
    <col min="4" max="4" width="13.44140625" hidden="1" customWidth="1"/>
    <col min="5" max="5" width="18.109375" hidden="1" customWidth="1"/>
    <col min="6" max="6" width="18.109375" bestFit="1" customWidth="1"/>
    <col min="8" max="8" width="17.5546875" bestFit="1" customWidth="1"/>
    <col min="9" max="9" width="18.109375" bestFit="1" customWidth="1"/>
    <col min="12" max="12" width="17.88671875" bestFit="1" customWidth="1"/>
    <col min="13" max="13" width="21.5546875" bestFit="1" customWidth="1"/>
    <col min="14" max="17" width="12.88671875" bestFit="1" customWidth="1"/>
    <col min="18" max="18" width="13.44140625" bestFit="1" customWidth="1"/>
    <col min="20" max="21" width="13.44140625" bestFit="1" customWidth="1"/>
  </cols>
  <sheetData>
    <row r="1" spans="1:9" ht="15.6" x14ac:dyDescent="0.3">
      <c r="B1" s="1" t="s">
        <v>0</v>
      </c>
      <c r="D1" s="2" t="s">
        <v>1</v>
      </c>
      <c r="E1" s="2" t="s">
        <v>2</v>
      </c>
      <c r="F1" s="1" t="s">
        <v>0</v>
      </c>
      <c r="H1" s="2" t="s">
        <v>1</v>
      </c>
      <c r="I1" s="2" t="s">
        <v>2</v>
      </c>
    </row>
    <row r="2" spans="1:9" x14ac:dyDescent="0.3">
      <c r="A2" t="s">
        <v>3</v>
      </c>
      <c r="B2" t="s">
        <v>4</v>
      </c>
      <c r="D2" t="s">
        <v>5</v>
      </c>
      <c r="E2" t="s">
        <v>6</v>
      </c>
      <c r="F2" t="s">
        <v>4</v>
      </c>
      <c r="H2" t="str">
        <f>F6</f>
        <v>IFAH 1</v>
      </c>
      <c r="I2" t="str">
        <f>F4</f>
        <v>BHV Lions </v>
      </c>
    </row>
    <row r="3" spans="1:9" x14ac:dyDescent="0.3">
      <c r="A3" t="s">
        <v>7</v>
      </c>
      <c r="B3" t="s">
        <v>8</v>
      </c>
      <c r="D3" t="s">
        <v>9</v>
      </c>
      <c r="E3" t="s">
        <v>10</v>
      </c>
      <c r="F3" t="s">
        <v>8</v>
      </c>
      <c r="H3" t="str">
        <f>F9</f>
        <v>BHV Tigers</v>
      </c>
      <c r="I3" t="str">
        <f>F7</f>
        <v>FIFH Malmö 1</v>
      </c>
    </row>
    <row r="4" spans="1:9" x14ac:dyDescent="0.3">
      <c r="A4" t="s">
        <v>13</v>
      </c>
      <c r="B4" t="s">
        <v>14</v>
      </c>
      <c r="D4" t="s">
        <v>4</v>
      </c>
      <c r="E4" t="s">
        <v>15</v>
      </c>
      <c r="F4" t="s">
        <v>14</v>
      </c>
      <c r="H4" t="str">
        <f>F2</f>
        <v>Aabenraa</v>
      </c>
      <c r="I4" t="str">
        <f>F8</f>
        <v>Arendal </v>
      </c>
    </row>
    <row r="5" spans="1:9" x14ac:dyDescent="0.3">
      <c r="A5" t="s">
        <v>19</v>
      </c>
      <c r="B5" t="s">
        <v>20</v>
      </c>
      <c r="D5" t="s">
        <v>20</v>
      </c>
      <c r="E5" t="s">
        <v>8</v>
      </c>
      <c r="F5" t="s">
        <v>20</v>
      </c>
      <c r="H5" t="str">
        <f>F5</f>
        <v>KF Heros 1</v>
      </c>
      <c r="I5" t="str">
        <f>F3</f>
        <v>Gårslev </v>
      </c>
    </row>
    <row r="6" spans="1:9" x14ac:dyDescent="0.3">
      <c r="A6" t="s">
        <v>24</v>
      </c>
      <c r="B6" t="s">
        <v>25</v>
      </c>
      <c r="F6" t="s">
        <v>25</v>
      </c>
    </row>
    <row r="7" spans="1:9" x14ac:dyDescent="0.3">
      <c r="A7" t="s">
        <v>29</v>
      </c>
      <c r="B7" t="s">
        <v>10</v>
      </c>
      <c r="F7" t="s">
        <v>10</v>
      </c>
    </row>
    <row r="8" spans="1:9" x14ac:dyDescent="0.3">
      <c r="A8" t="s">
        <v>32</v>
      </c>
      <c r="B8" t="s">
        <v>15</v>
      </c>
      <c r="F8" t="s">
        <v>15</v>
      </c>
    </row>
    <row r="9" spans="1:9" x14ac:dyDescent="0.3">
      <c r="A9" t="s">
        <v>34</v>
      </c>
      <c r="B9" t="s">
        <v>9</v>
      </c>
      <c r="F9" t="s">
        <v>9</v>
      </c>
    </row>
    <row r="11" spans="1:9" ht="15.6" x14ac:dyDescent="0.3">
      <c r="B11" s="1" t="s">
        <v>35</v>
      </c>
      <c r="D11" s="2" t="s">
        <v>1</v>
      </c>
      <c r="E11" s="2" t="s">
        <v>2</v>
      </c>
      <c r="F11" s="1" t="s">
        <v>35</v>
      </c>
      <c r="H11" s="2" t="s">
        <v>1</v>
      </c>
      <c r="I11" s="2" t="s">
        <v>2</v>
      </c>
    </row>
    <row r="12" spans="1:9" x14ac:dyDescent="0.3">
      <c r="A12" t="s">
        <v>36</v>
      </c>
      <c r="B12" t="s">
        <v>37</v>
      </c>
      <c r="D12" t="s">
        <v>37</v>
      </c>
      <c r="E12" t="s">
        <v>38</v>
      </c>
      <c r="F12" t="s">
        <v>37</v>
      </c>
      <c r="H12" t="str">
        <f>F12</f>
        <v>Aabenraa 2 </v>
      </c>
      <c r="I12" t="str">
        <f>F13</f>
        <v>Gårslev 2 </v>
      </c>
    </row>
    <row r="13" spans="1:9" x14ac:dyDescent="0.3">
      <c r="A13" t="s">
        <v>39</v>
      </c>
      <c r="B13" t="s">
        <v>38</v>
      </c>
      <c r="D13" t="s">
        <v>40</v>
      </c>
      <c r="E13" t="s">
        <v>41</v>
      </c>
      <c r="F13" t="s">
        <v>38</v>
      </c>
      <c r="H13" t="str">
        <f>F15</f>
        <v>IFAH 2</v>
      </c>
      <c r="I13" t="str">
        <f>F16</f>
        <v>FIFH Malmö 2 </v>
      </c>
    </row>
    <row r="14" spans="1:9" x14ac:dyDescent="0.3">
      <c r="A14" t="s">
        <v>42</v>
      </c>
      <c r="B14" t="s">
        <v>43</v>
      </c>
      <c r="D14" t="s">
        <v>44</v>
      </c>
      <c r="E14" t="s">
        <v>45</v>
      </c>
      <c r="F14" t="s">
        <v>43</v>
      </c>
      <c r="H14" t="str">
        <f>F18</f>
        <v>Lilleström </v>
      </c>
      <c r="I14" t="str">
        <f>F17</f>
        <v>KF Heros 2</v>
      </c>
    </row>
    <row r="15" spans="1:9" x14ac:dyDescent="0.3">
      <c r="A15" t="s">
        <v>46</v>
      </c>
      <c r="B15" t="s">
        <v>40</v>
      </c>
      <c r="D15" t="s">
        <v>47</v>
      </c>
      <c r="E15" t="s">
        <v>43</v>
      </c>
      <c r="F15" t="s">
        <v>40</v>
      </c>
      <c r="H15" t="str">
        <f>F19</f>
        <v>Norrköping Rhinos </v>
      </c>
      <c r="I15" t="str">
        <f>F14</f>
        <v>Umeå Wolfs</v>
      </c>
    </row>
    <row r="16" spans="1:9" x14ac:dyDescent="0.3">
      <c r="A16" t="s">
        <v>48</v>
      </c>
      <c r="B16" t="s">
        <v>41</v>
      </c>
      <c r="F16" t="s">
        <v>41</v>
      </c>
    </row>
    <row r="17" spans="1:18" x14ac:dyDescent="0.3">
      <c r="A17" s="36" t="s">
        <v>49</v>
      </c>
      <c r="B17" s="36" t="s">
        <v>45</v>
      </c>
      <c r="F17" t="s">
        <v>189</v>
      </c>
    </row>
    <row r="18" spans="1:18" x14ac:dyDescent="0.3">
      <c r="A18" t="s">
        <v>50</v>
      </c>
      <c r="B18" t="s">
        <v>44</v>
      </c>
      <c r="F18" t="s">
        <v>44</v>
      </c>
      <c r="M18" s="2"/>
    </row>
    <row r="19" spans="1:18" x14ac:dyDescent="0.3">
      <c r="A19" t="s">
        <v>51</v>
      </c>
      <c r="B19" t="s">
        <v>47</v>
      </c>
      <c r="F19" t="s">
        <v>47</v>
      </c>
    </row>
    <row r="21" spans="1:18" ht="15.6" x14ac:dyDescent="0.3">
      <c r="B21" s="1" t="s">
        <v>52</v>
      </c>
      <c r="D21" s="2" t="s">
        <v>1</v>
      </c>
      <c r="E21" s="2" t="s">
        <v>2</v>
      </c>
      <c r="F21" s="1" t="s">
        <v>52</v>
      </c>
      <c r="H21" s="2" t="s">
        <v>1</v>
      </c>
      <c r="I21" s="2" t="s">
        <v>2</v>
      </c>
    </row>
    <row r="22" spans="1:18" x14ac:dyDescent="0.3">
      <c r="A22" t="s">
        <v>53</v>
      </c>
      <c r="B22" t="s">
        <v>54</v>
      </c>
      <c r="D22" t="s">
        <v>16</v>
      </c>
      <c r="E22" t="s">
        <v>54</v>
      </c>
      <c r="F22" t="s">
        <v>190</v>
      </c>
      <c r="H22" t="str">
        <f>F26</f>
        <v>Alberta 1</v>
      </c>
      <c r="I22" t="str">
        <f>F23</f>
        <v>IFAH 3</v>
      </c>
    </row>
    <row r="23" spans="1:18" x14ac:dyDescent="0.3">
      <c r="A23" t="s">
        <v>55</v>
      </c>
      <c r="B23" t="s">
        <v>56</v>
      </c>
      <c r="D23" t="s">
        <v>21</v>
      </c>
      <c r="E23" t="s">
        <v>56</v>
      </c>
      <c r="F23" t="s">
        <v>23</v>
      </c>
      <c r="H23" t="str">
        <f>F22</f>
        <v>Eskilstuna Tanks</v>
      </c>
      <c r="I23" t="str">
        <f>F27</f>
        <v>Alberta 2</v>
      </c>
      <c r="N23" s="2"/>
      <c r="O23" s="2"/>
      <c r="P23" s="2"/>
      <c r="Q23" s="2"/>
      <c r="R23" s="2"/>
    </row>
    <row r="24" spans="1:18" x14ac:dyDescent="0.3">
      <c r="A24" t="s">
        <v>57</v>
      </c>
      <c r="B24" t="s">
        <v>23</v>
      </c>
      <c r="D24" t="s">
        <v>26</v>
      </c>
      <c r="E24" t="s">
        <v>58</v>
      </c>
      <c r="F24" t="s">
        <v>26</v>
      </c>
      <c r="H24" t="str">
        <f>F29</f>
        <v>Boston 2</v>
      </c>
      <c r="I24" t="str">
        <f>F28</f>
        <v>Boston 1</v>
      </c>
      <c r="M24" s="2"/>
    </row>
    <row r="25" spans="1:18" x14ac:dyDescent="0.3">
      <c r="A25" t="s">
        <v>59</v>
      </c>
      <c r="B25" t="s">
        <v>26</v>
      </c>
      <c r="D25" t="s">
        <v>23</v>
      </c>
      <c r="E25" t="s">
        <v>60</v>
      </c>
      <c r="F25" t="s">
        <v>21</v>
      </c>
      <c r="H25" t="str">
        <f>F25</f>
        <v>Ontario </v>
      </c>
      <c r="I25" t="str">
        <f>F24</f>
        <v>FIFH Malmö 3 </v>
      </c>
      <c r="M25" s="2"/>
    </row>
    <row r="26" spans="1:18" x14ac:dyDescent="0.3">
      <c r="A26" t="s">
        <v>61</v>
      </c>
      <c r="B26" t="s">
        <v>21</v>
      </c>
      <c r="D26" t="s">
        <v>18</v>
      </c>
      <c r="F26" t="s">
        <v>63</v>
      </c>
      <c r="M26" s="2"/>
    </row>
    <row r="27" spans="1:18" x14ac:dyDescent="0.3">
      <c r="A27" t="s">
        <v>62</v>
      </c>
      <c r="B27" t="s">
        <v>63</v>
      </c>
      <c r="F27" t="s">
        <v>18</v>
      </c>
      <c r="M27" s="2"/>
    </row>
    <row r="28" spans="1:18" x14ac:dyDescent="0.3">
      <c r="A28" t="s">
        <v>64</v>
      </c>
      <c r="B28" t="s">
        <v>18</v>
      </c>
      <c r="F28" t="s">
        <v>191</v>
      </c>
      <c r="M28" s="2"/>
    </row>
    <row r="29" spans="1:18" x14ac:dyDescent="0.3">
      <c r="A29" t="s">
        <v>65</v>
      </c>
      <c r="B29" t="s">
        <v>191</v>
      </c>
      <c r="F29" t="s">
        <v>58</v>
      </c>
    </row>
    <row r="30" spans="1:18" x14ac:dyDescent="0.3">
      <c r="A30" t="s">
        <v>66</v>
      </c>
      <c r="B30" t="s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FF57-24BB-4C97-B58E-CF007287319D}">
  <dimension ref="A1:AN36"/>
  <sheetViews>
    <sheetView tabSelected="1" zoomScale="88" zoomScaleNormal="130" workbookViewId="0">
      <selection activeCell="G1" sqref="G1"/>
    </sheetView>
  </sheetViews>
  <sheetFormatPr defaultRowHeight="14.4" x14ac:dyDescent="0.3"/>
  <cols>
    <col min="1" max="1" width="9.6640625" style="2" bestFit="1" customWidth="1"/>
    <col min="2" max="2" width="11.33203125" style="10" bestFit="1" customWidth="1"/>
    <col min="3" max="3" width="5.88671875" style="10" bestFit="1" customWidth="1"/>
    <col min="4" max="4" width="1.6640625" style="10" bestFit="1" customWidth="1"/>
    <col min="5" max="5" width="5.88671875" style="10" bestFit="1" customWidth="1"/>
    <col min="6" max="6" width="18.109375" style="10" bestFit="1" customWidth="1"/>
    <col min="8" max="8" width="18.109375" style="10" bestFit="1" customWidth="1"/>
    <col min="9" max="9" width="5.88671875" style="10" bestFit="1" customWidth="1"/>
    <col min="10" max="10" width="1.6640625" style="10" bestFit="1" customWidth="1"/>
    <col min="11" max="11" width="5.88671875" style="10" bestFit="1" customWidth="1"/>
    <col min="12" max="12" width="18.109375" style="10" bestFit="1" customWidth="1"/>
    <col min="15" max="15" width="5.77734375" bestFit="1" customWidth="1"/>
    <col min="16" max="16" width="5.5546875" bestFit="1" customWidth="1"/>
    <col min="17" max="17" width="5" bestFit="1" customWidth="1"/>
    <col min="18" max="18" width="5.109375" style="10" bestFit="1" customWidth="1"/>
    <col min="19" max="19" width="5.88671875" style="10" bestFit="1" customWidth="1"/>
    <col min="20" max="20" width="1.6640625" style="10" bestFit="1" customWidth="1"/>
    <col min="21" max="21" width="5.88671875" style="10" bestFit="1" customWidth="1"/>
    <col min="22" max="22" width="5.109375" style="10" bestFit="1" customWidth="1"/>
    <col min="23" max="23" width="7.5546875" bestFit="1" customWidth="1"/>
    <col min="24" max="24" width="6.88671875" bestFit="1" customWidth="1"/>
    <col min="25" max="25" width="5.109375" customWidth="1"/>
    <col min="26" max="26" width="10.44140625" bestFit="1" customWidth="1"/>
    <col min="27" max="27" width="7.33203125" style="10" bestFit="1" customWidth="1"/>
    <col min="28" max="28" width="5.88671875" style="10" bestFit="1" customWidth="1"/>
    <col min="29" max="29" width="1.6640625" style="10" bestFit="1" customWidth="1"/>
    <col min="30" max="30" width="5.88671875" style="10" bestFit="1" customWidth="1"/>
    <col min="31" max="31" width="7.33203125" style="10" bestFit="1" customWidth="1"/>
    <col min="32" max="32" width="7.5546875" bestFit="1" customWidth="1"/>
    <col min="33" max="33" width="6.88671875" bestFit="1" customWidth="1"/>
    <col min="34" max="34" width="5.109375" customWidth="1"/>
    <col min="35" max="35" width="7.109375" bestFit="1" customWidth="1"/>
    <col min="36" max="36" width="7.44140625" style="10" bestFit="1" customWidth="1"/>
    <col min="37" max="37" width="5.88671875" style="10" bestFit="1" customWidth="1"/>
    <col min="38" max="38" width="1.6640625" style="10" bestFit="1" customWidth="1"/>
    <col min="39" max="39" width="5.88671875" style="10" bestFit="1" customWidth="1"/>
    <col min="40" max="40" width="7.44140625" style="10" bestFit="1" customWidth="1"/>
  </cols>
  <sheetData>
    <row r="1" spans="1:40" x14ac:dyDescent="0.3">
      <c r="A1" s="24" t="s">
        <v>67</v>
      </c>
      <c r="C1" s="10" t="s">
        <v>192</v>
      </c>
      <c r="D1"/>
      <c r="E1" s="10" t="s">
        <v>192</v>
      </c>
      <c r="I1" s="10" t="s">
        <v>192</v>
      </c>
      <c r="J1"/>
      <c r="K1" s="10" t="s">
        <v>192</v>
      </c>
      <c r="S1" s="10" t="s">
        <v>192</v>
      </c>
      <c r="T1"/>
      <c r="U1" s="10" t="s">
        <v>192</v>
      </c>
      <c r="W1" t="s">
        <v>194</v>
      </c>
      <c r="X1" t="s">
        <v>211</v>
      </c>
      <c r="AB1" s="10" t="s">
        <v>192</v>
      </c>
      <c r="AC1"/>
      <c r="AD1" s="10" t="s">
        <v>192</v>
      </c>
      <c r="AF1" t="s">
        <v>194</v>
      </c>
      <c r="AG1" t="s">
        <v>211</v>
      </c>
      <c r="AK1" s="10" t="s">
        <v>192</v>
      </c>
      <c r="AL1"/>
      <c r="AM1" s="10" t="s">
        <v>192</v>
      </c>
    </row>
    <row r="2" spans="1:40" x14ac:dyDescent="0.3">
      <c r="A2" s="3" t="s">
        <v>1</v>
      </c>
      <c r="Q2" s="2" t="s">
        <v>68</v>
      </c>
      <c r="R2" s="29" t="str">
        <f>O3</f>
        <v>GA 1</v>
      </c>
      <c r="S2" s="10">
        <v>0</v>
      </c>
      <c r="T2" s="10" t="s">
        <v>212</v>
      </c>
      <c r="U2" s="10">
        <v>0</v>
      </c>
      <c r="V2" s="29" t="str">
        <f>O11</f>
        <v>GB 4</v>
      </c>
      <c r="W2" t="str">
        <f>IF($S2&gt;$U2,$R2,IF($U2&gt;$S2,$V2,"W QF 1"))</f>
        <v>W QF 1</v>
      </c>
      <c r="X2" t="str">
        <f>IF($S2&lt;$U2,$R2,IF($U2&lt;$S2,$V2,"L QF 1"))</f>
        <v>L QF 1</v>
      </c>
      <c r="Z2" s="2" t="s">
        <v>71</v>
      </c>
      <c r="AA2" s="29" t="str">
        <f>W2</f>
        <v>W QF 1</v>
      </c>
      <c r="AB2" s="10">
        <v>0</v>
      </c>
      <c r="AC2" s="10" t="s">
        <v>212</v>
      </c>
      <c r="AD2" s="10">
        <v>0</v>
      </c>
      <c r="AE2" s="29" t="str">
        <f>W4</f>
        <v>W QF 3</v>
      </c>
      <c r="AF2" t="str">
        <f>IF($AB2&gt;$AD2,$AA2,IF($AD2&gt;$AB2,$AE2,"W SF 1"))</f>
        <v>W SF 1</v>
      </c>
      <c r="AG2" t="str">
        <f>IF($AB2&lt;$AD2,$AA2,IF($AD2&lt;$AB2,$AE2,"L SF 1"))</f>
        <v>L SF 1</v>
      </c>
      <c r="AI2" s="2" t="s">
        <v>74</v>
      </c>
      <c r="AJ2" s="29" t="str">
        <f>AF2</f>
        <v>W SF 1</v>
      </c>
      <c r="AK2" s="10">
        <v>0</v>
      </c>
      <c r="AL2" s="10" t="s">
        <v>212</v>
      </c>
      <c r="AM2" s="10">
        <v>0</v>
      </c>
      <c r="AN2" s="29" t="str">
        <f>AF3</f>
        <v>W SF 2</v>
      </c>
    </row>
    <row r="3" spans="1:40" x14ac:dyDescent="0.3">
      <c r="A3" s="3" t="s">
        <v>77</v>
      </c>
      <c r="B3" s="13" t="str">
        <f>'Teams +Groups'!H2</f>
        <v>IFAH 1</v>
      </c>
      <c r="C3" s="10" t="s">
        <v>213</v>
      </c>
      <c r="D3" s="10" t="s">
        <v>212</v>
      </c>
      <c r="E3" s="10" t="s">
        <v>213</v>
      </c>
      <c r="F3" s="13" t="str">
        <f>'Teams +Groups'!H3</f>
        <v>BHV Tigers</v>
      </c>
      <c r="H3" s="13" t="str">
        <f>F4</f>
        <v>Aabenraa</v>
      </c>
      <c r="I3" s="10" t="s">
        <v>213</v>
      </c>
      <c r="J3" s="10" t="s">
        <v>212</v>
      </c>
      <c r="K3" s="10" t="s">
        <v>213</v>
      </c>
      <c r="L3" s="13" t="str">
        <f>F5</f>
        <v>KF Heros 1</v>
      </c>
      <c r="N3" t="s">
        <v>69</v>
      </c>
      <c r="O3" t="str">
        <f>IF(SUM(Elite_A[GP])=12,Tables!B4,N3)</f>
        <v>GA 1</v>
      </c>
      <c r="Q3" s="2" t="s">
        <v>79</v>
      </c>
      <c r="R3" s="29" t="str">
        <f>O8</f>
        <v>GB 1</v>
      </c>
      <c r="S3" s="10">
        <v>0</v>
      </c>
      <c r="T3" s="10" t="s">
        <v>212</v>
      </c>
      <c r="U3" s="10">
        <v>0</v>
      </c>
      <c r="V3" s="29" t="str">
        <f>O6</f>
        <v>GA 4</v>
      </c>
      <c r="W3" t="str">
        <f>IF($S3&gt;$U3,$R3,IF($U3&gt;$S3,$V3,"W QF 2"))</f>
        <v>W QF 2</v>
      </c>
      <c r="X3" t="str">
        <f>IF($S3&lt;$U3,$R3,IF($U3&lt;$S3,$V3,"L QF 2"))</f>
        <v>L QF 2</v>
      </c>
      <c r="Z3" s="2" t="s">
        <v>82</v>
      </c>
      <c r="AA3" s="29" t="str">
        <f>W3</f>
        <v>W QF 2</v>
      </c>
      <c r="AB3" s="10">
        <v>0</v>
      </c>
      <c r="AC3" s="10" t="s">
        <v>212</v>
      </c>
      <c r="AD3" s="10">
        <v>0</v>
      </c>
      <c r="AE3" s="29" t="str">
        <f>W5</f>
        <v>W QF 4</v>
      </c>
      <c r="AF3" t="str">
        <f>IF($AB3&gt;$AD3,$AA3,IF($AD3&gt;$AB3,$AE3,"W SF 2"))</f>
        <v>W SF 2</v>
      </c>
      <c r="AG3" t="str">
        <f>IF($AB3&lt;$AD3,$AA3,IF($AD3&lt;$AB3,$AE3,"L SF 2"))</f>
        <v>L SF 2</v>
      </c>
      <c r="AI3" s="2" t="s">
        <v>85</v>
      </c>
      <c r="AJ3" s="29" t="str">
        <f>AG2</f>
        <v>L SF 1</v>
      </c>
      <c r="AK3" s="10">
        <v>0</v>
      </c>
      <c r="AL3" s="10" t="s">
        <v>212</v>
      </c>
      <c r="AM3" s="10">
        <v>0</v>
      </c>
      <c r="AN3" s="29" t="str">
        <f>AG3</f>
        <v>L SF 2</v>
      </c>
    </row>
    <row r="4" spans="1:40" x14ac:dyDescent="0.3">
      <c r="A4" s="3" t="s">
        <v>88</v>
      </c>
      <c r="B4" s="13" t="str">
        <f>'Teams +Groups'!H2</f>
        <v>IFAH 1</v>
      </c>
      <c r="C4" s="10" t="s">
        <v>213</v>
      </c>
      <c r="D4" s="10" t="s">
        <v>212</v>
      </c>
      <c r="E4" s="10" t="s">
        <v>213</v>
      </c>
      <c r="F4" s="13" t="str">
        <f>'Teams +Groups'!H4</f>
        <v>Aabenraa</v>
      </c>
      <c r="H4" s="13" t="str">
        <f>F5</f>
        <v>KF Heros 1</v>
      </c>
      <c r="I4" s="10" t="s">
        <v>213</v>
      </c>
      <c r="J4" s="10" t="s">
        <v>212</v>
      </c>
      <c r="K4" s="10" t="s">
        <v>213</v>
      </c>
      <c r="L4" s="13" t="str">
        <f>F3</f>
        <v>BHV Tigers</v>
      </c>
      <c r="N4" t="s">
        <v>89</v>
      </c>
      <c r="O4" t="str">
        <f>IF(SUM(Elite_A[GP])=12,Tables!B5,N4)</f>
        <v>GA 2</v>
      </c>
      <c r="Q4" s="2" t="s">
        <v>90</v>
      </c>
      <c r="R4" s="29" t="str">
        <f>O4</f>
        <v>GA 2</v>
      </c>
      <c r="S4" s="10">
        <v>0</v>
      </c>
      <c r="T4" s="10" t="s">
        <v>212</v>
      </c>
      <c r="U4" s="10">
        <v>0</v>
      </c>
      <c r="V4" s="29" t="str">
        <f>O10</f>
        <v>GB 3</v>
      </c>
      <c r="W4" t="str">
        <f>IF($S4&gt;$U4,$R4,IF($U4&gt;$S4,$V4,"W QF 3"))</f>
        <v>W QF 3</v>
      </c>
      <c r="X4" t="str">
        <f>IF($S4&lt;$U4,$R4,IF($U4&lt;$S4,$V4,"L QF 3"))</f>
        <v>L QF 3</v>
      </c>
      <c r="Z4" s="2" t="s">
        <v>96</v>
      </c>
    </row>
    <row r="5" spans="1:40" x14ac:dyDescent="0.3">
      <c r="A5" s="3" t="s">
        <v>92</v>
      </c>
      <c r="B5" s="13" t="str">
        <f>'Teams +Groups'!H2</f>
        <v>IFAH 1</v>
      </c>
      <c r="C5" s="10" t="s">
        <v>213</v>
      </c>
      <c r="D5" s="10" t="s">
        <v>212</v>
      </c>
      <c r="E5" s="10" t="s">
        <v>213</v>
      </c>
      <c r="F5" s="13" t="str">
        <f>'Teams +Groups'!H5</f>
        <v>KF Heros 1</v>
      </c>
      <c r="H5" s="13" t="str">
        <f>F3</f>
        <v>BHV Tigers</v>
      </c>
      <c r="I5" s="10" t="s">
        <v>213</v>
      </c>
      <c r="J5" s="10" t="s">
        <v>212</v>
      </c>
      <c r="K5" s="10" t="s">
        <v>213</v>
      </c>
      <c r="L5" s="13" t="str">
        <f>F4</f>
        <v>Aabenraa</v>
      </c>
      <c r="N5" t="s">
        <v>93</v>
      </c>
      <c r="O5" t="str">
        <f>IF(SUM(Elite_A[GP])=12,Tables!B6,N5)</f>
        <v>GA 3</v>
      </c>
      <c r="Q5" s="2" t="s">
        <v>94</v>
      </c>
      <c r="R5" s="29" t="str">
        <f>O9</f>
        <v>GB 2</v>
      </c>
      <c r="S5" s="10">
        <v>0</v>
      </c>
      <c r="T5" s="10" t="s">
        <v>212</v>
      </c>
      <c r="U5" s="10">
        <v>0</v>
      </c>
      <c r="V5" s="29" t="str">
        <f>O5</f>
        <v>GA 3</v>
      </c>
      <c r="W5" t="str">
        <f>IF($S5&gt;$U5,$R5,IF($U5&gt;$S5,$V5,"W QF 4"))</f>
        <v>W QF 4</v>
      </c>
      <c r="X5" t="str">
        <f>IF($S5&lt;$U5,$R5,IF($U5&lt;$S5,$V5,"L QF 4"))</f>
        <v>L QF 4</v>
      </c>
      <c r="Z5" s="2" t="s">
        <v>97</v>
      </c>
      <c r="AA5" s="29" t="str">
        <f>X2</f>
        <v>L QF 1</v>
      </c>
      <c r="AB5" s="10">
        <v>0</v>
      </c>
      <c r="AC5" s="10" t="s">
        <v>212</v>
      </c>
      <c r="AD5" s="10">
        <v>0</v>
      </c>
      <c r="AE5" s="29" t="str">
        <f>X4</f>
        <v>L QF 3</v>
      </c>
      <c r="AF5" t="str">
        <f>IF($AB5&gt;$AD5,$AA5,IF($AD5&gt;$AB5,$AE5,"W PQ 1"))</f>
        <v>W PQ 1</v>
      </c>
      <c r="AG5" t="str">
        <f>IF($AB5&lt;$AD5,$AA5,IF($AD5&lt;$AB5,$AE5,"L PQ 1"))</f>
        <v>L PQ 1</v>
      </c>
      <c r="AI5" s="22" t="s">
        <v>100</v>
      </c>
      <c r="AJ5" s="29" t="str">
        <f>AF5</f>
        <v>W PQ 1</v>
      </c>
      <c r="AK5" s="10">
        <v>0</v>
      </c>
      <c r="AL5" s="10" t="s">
        <v>212</v>
      </c>
      <c r="AM5" s="10">
        <v>0</v>
      </c>
      <c r="AN5" s="29" t="str">
        <f>AF6</f>
        <v>W PQ 2</v>
      </c>
    </row>
    <row r="6" spans="1:40" x14ac:dyDescent="0.3">
      <c r="C6" s="10" t="s">
        <v>213</v>
      </c>
      <c r="D6"/>
      <c r="E6" s="10" t="s">
        <v>213</v>
      </c>
      <c r="I6" s="10" t="s">
        <v>213</v>
      </c>
      <c r="J6"/>
      <c r="K6" s="10" t="s">
        <v>213</v>
      </c>
      <c r="N6" t="s">
        <v>81</v>
      </c>
      <c r="O6" t="str">
        <f>IF(SUM(Elite_A[GP])=12,Tables!B7,N6)</f>
        <v>GA 4</v>
      </c>
      <c r="T6"/>
      <c r="Z6" s="2" t="s">
        <v>103</v>
      </c>
      <c r="AA6" s="29" t="str">
        <f>X3</f>
        <v>L QF 2</v>
      </c>
      <c r="AB6" s="10">
        <v>0</v>
      </c>
      <c r="AC6" s="10" t="s">
        <v>212</v>
      </c>
      <c r="AD6" s="10">
        <v>0</v>
      </c>
      <c r="AE6" s="29" t="str">
        <f>X5</f>
        <v>L QF 4</v>
      </c>
      <c r="AF6" t="str">
        <f>IF($AB6&gt;$AD6,$AA6,IF($AD6&gt;$AB6,$AE6,"W PQ 2"))</f>
        <v>W PQ 2</v>
      </c>
      <c r="AG6" t="str">
        <f>IF($AB6&lt;$AD6,$AA6,IF($AD6&lt;$AB6,$AE6,"L PQ 2"))</f>
        <v>L PQ 2</v>
      </c>
      <c r="AI6" s="2" t="s">
        <v>106</v>
      </c>
      <c r="AJ6" s="29" t="str">
        <f>AG5</f>
        <v>L PQ 1</v>
      </c>
      <c r="AK6" s="10">
        <v>0</v>
      </c>
      <c r="AL6" s="10" t="s">
        <v>212</v>
      </c>
      <c r="AM6" s="10">
        <v>0</v>
      </c>
      <c r="AN6" s="29" t="str">
        <f>AG6</f>
        <v>L PQ 2</v>
      </c>
    </row>
    <row r="7" spans="1:40" x14ac:dyDescent="0.3">
      <c r="A7" s="4" t="s">
        <v>2</v>
      </c>
      <c r="C7" s="10" t="s">
        <v>213</v>
      </c>
      <c r="D7"/>
      <c r="E7" s="10" t="s">
        <v>213</v>
      </c>
      <c r="I7" s="10" t="s">
        <v>213</v>
      </c>
      <c r="J7"/>
      <c r="K7" s="10" t="s">
        <v>213</v>
      </c>
      <c r="T7"/>
      <c r="AC7"/>
      <c r="AL7"/>
    </row>
    <row r="8" spans="1:40" x14ac:dyDescent="0.3">
      <c r="A8" s="4" t="s">
        <v>77</v>
      </c>
      <c r="B8" s="14" t="str">
        <f>'Teams +Groups'!I2</f>
        <v>BHV Lions </v>
      </c>
      <c r="C8" s="10" t="s">
        <v>213</v>
      </c>
      <c r="D8" s="10" t="s">
        <v>212</v>
      </c>
      <c r="E8" s="10" t="s">
        <v>213</v>
      </c>
      <c r="F8" s="14" t="str">
        <f>'Teams +Groups'!I3</f>
        <v>FIFH Malmö 1</v>
      </c>
      <c r="H8" s="14" t="str">
        <f>F9</f>
        <v>Arendal </v>
      </c>
      <c r="I8" s="10" t="s">
        <v>213</v>
      </c>
      <c r="J8" s="10" t="s">
        <v>212</v>
      </c>
      <c r="K8" s="10" t="s">
        <v>213</v>
      </c>
      <c r="L8" s="14" t="str">
        <f>F10</f>
        <v>Gårslev </v>
      </c>
      <c r="N8" t="s">
        <v>80</v>
      </c>
      <c r="O8" t="str">
        <f>IF(SUM(Elite_B[GP])=12,Tables!B12,N8)</f>
        <v>GB 1</v>
      </c>
      <c r="T8"/>
      <c r="AC8"/>
      <c r="AL8"/>
    </row>
    <row r="9" spans="1:40" x14ac:dyDescent="0.3">
      <c r="A9" s="4" t="s">
        <v>88</v>
      </c>
      <c r="B9" s="14" t="str">
        <f>'Teams +Groups'!I2</f>
        <v>BHV Lions </v>
      </c>
      <c r="C9" s="10" t="s">
        <v>213</v>
      </c>
      <c r="D9" s="10" t="s">
        <v>212</v>
      </c>
      <c r="E9" s="10" t="s">
        <v>213</v>
      </c>
      <c r="F9" s="14" t="str">
        <f>'Teams +Groups'!I4</f>
        <v>Arendal </v>
      </c>
      <c r="H9" s="14" t="str">
        <f>F10</f>
        <v>Gårslev </v>
      </c>
      <c r="I9" s="10" t="s">
        <v>213</v>
      </c>
      <c r="J9" s="10" t="s">
        <v>212</v>
      </c>
      <c r="K9" s="10" t="s">
        <v>213</v>
      </c>
      <c r="L9" s="14" t="str">
        <f>F8</f>
        <v>FIFH Malmö 1</v>
      </c>
      <c r="N9" t="s">
        <v>95</v>
      </c>
      <c r="O9" t="str">
        <f>IF(SUM(Elite_B[GP])=12,Tables!B13,N9)</f>
        <v>GB 2</v>
      </c>
      <c r="T9"/>
      <c r="AC9"/>
      <c r="AL9"/>
    </row>
    <row r="10" spans="1:40" x14ac:dyDescent="0.3">
      <c r="A10" s="4" t="s">
        <v>92</v>
      </c>
      <c r="B10" s="14" t="str">
        <f>'Teams +Groups'!I2</f>
        <v>BHV Lions </v>
      </c>
      <c r="C10" s="10" t="s">
        <v>213</v>
      </c>
      <c r="D10" s="10" t="s">
        <v>212</v>
      </c>
      <c r="E10" s="10" t="s">
        <v>213</v>
      </c>
      <c r="F10" s="14" t="str">
        <f>'Teams +Groups'!I5</f>
        <v>Gårslev </v>
      </c>
      <c r="H10" s="14" t="str">
        <f>F8</f>
        <v>FIFH Malmö 1</v>
      </c>
      <c r="I10" s="10" t="s">
        <v>213</v>
      </c>
      <c r="J10" s="10" t="s">
        <v>212</v>
      </c>
      <c r="K10" s="10" t="s">
        <v>213</v>
      </c>
      <c r="L10" s="14" t="str">
        <f>F9</f>
        <v>Arendal </v>
      </c>
      <c r="N10" t="s">
        <v>91</v>
      </c>
      <c r="O10" t="str">
        <f>IF(SUM(Elite_B[GP])=12,Tables!B14,N10)</f>
        <v>GB 3</v>
      </c>
      <c r="T10"/>
      <c r="AC10"/>
      <c r="AL10"/>
    </row>
    <row r="11" spans="1:40" x14ac:dyDescent="0.3">
      <c r="C11" s="10" t="s">
        <v>213</v>
      </c>
      <c r="D11"/>
      <c r="E11" s="10" t="s">
        <v>213</v>
      </c>
      <c r="I11" s="10" t="s">
        <v>213</v>
      </c>
      <c r="J11"/>
      <c r="K11" s="10" t="s">
        <v>213</v>
      </c>
      <c r="N11" t="s">
        <v>70</v>
      </c>
      <c r="O11" t="str">
        <f>IF(SUM(Elite_B[GP])=12,Tables!B15,N11)</f>
        <v>GB 4</v>
      </c>
      <c r="T11"/>
      <c r="AC11"/>
      <c r="AL11"/>
    </row>
    <row r="12" spans="1:40" x14ac:dyDescent="0.3">
      <c r="A12" s="23" t="s">
        <v>109</v>
      </c>
      <c r="C12" s="10" t="s">
        <v>213</v>
      </c>
      <c r="D12"/>
      <c r="E12" s="10" t="s">
        <v>213</v>
      </c>
      <c r="I12" s="10" t="s">
        <v>213</v>
      </c>
      <c r="J12"/>
      <c r="K12" s="10" t="s">
        <v>213</v>
      </c>
      <c r="T12"/>
      <c r="W12" t="s">
        <v>194</v>
      </c>
      <c r="X12" t="s">
        <v>211</v>
      </c>
      <c r="AC12"/>
      <c r="AF12" t="s">
        <v>194</v>
      </c>
      <c r="AG12" t="s">
        <v>211</v>
      </c>
      <c r="AL12"/>
    </row>
    <row r="13" spans="1:40" x14ac:dyDescent="0.3">
      <c r="A13" s="5" t="s">
        <v>1</v>
      </c>
      <c r="C13" s="10" t="s">
        <v>213</v>
      </c>
      <c r="E13" s="10" t="s">
        <v>213</v>
      </c>
      <c r="I13" s="10" t="s">
        <v>213</v>
      </c>
      <c r="K13" s="10" t="s">
        <v>213</v>
      </c>
      <c r="Q13" s="2" t="s">
        <v>68</v>
      </c>
      <c r="R13" s="30" t="str">
        <f>O14</f>
        <v>GA 1</v>
      </c>
      <c r="S13" s="10">
        <v>0</v>
      </c>
      <c r="T13" s="10" t="s">
        <v>212</v>
      </c>
      <c r="U13" s="10">
        <v>0</v>
      </c>
      <c r="V13" s="30" t="s">
        <v>70</v>
      </c>
      <c r="W13" t="str">
        <f>IF($S13&gt;$U13,$R13,IF($U13&gt;$S13,$V13,"W QF 1"))</f>
        <v>W QF 1</v>
      </c>
      <c r="X13" t="str">
        <f>IF($S13&lt;$U13,$R13,IF($U13&lt;$S13,$V13,"L QF 1"))</f>
        <v>L QF 1</v>
      </c>
      <c r="Z13" s="2" t="s">
        <v>71</v>
      </c>
      <c r="AA13" s="30" t="str">
        <f>W13</f>
        <v>W QF 1</v>
      </c>
      <c r="AB13" s="10">
        <v>0</v>
      </c>
      <c r="AC13" s="10" t="s">
        <v>212</v>
      </c>
      <c r="AD13" s="10">
        <v>0</v>
      </c>
      <c r="AE13" s="30" t="str">
        <f>W15</f>
        <v>W QF 3</v>
      </c>
      <c r="AF13" t="str">
        <f>IF($AB13&gt;$AD13,$AA13,IF($AD13&gt;$AB13,$AE13,"W SF 1"))</f>
        <v>W SF 1</v>
      </c>
      <c r="AG13" t="str">
        <f>IF($AB13&lt;$AD13,$AA13,IF($AD13&lt;$AB13,$AE13,"L SF 1"))</f>
        <v>L SF 1</v>
      </c>
      <c r="AI13" s="2" t="s">
        <v>74</v>
      </c>
      <c r="AJ13" s="30" t="str">
        <f>AF13</f>
        <v>W SF 1</v>
      </c>
      <c r="AK13" s="10">
        <v>0</v>
      </c>
      <c r="AL13" s="10" t="s">
        <v>212</v>
      </c>
      <c r="AM13" s="10">
        <v>0</v>
      </c>
      <c r="AN13" s="30" t="str">
        <f>AF14</f>
        <v>W SF 2</v>
      </c>
    </row>
    <row r="14" spans="1:40" x14ac:dyDescent="0.3">
      <c r="A14" s="5" t="s">
        <v>77</v>
      </c>
      <c r="B14" s="15" t="str">
        <f>'Teams +Groups'!H12</f>
        <v>Aabenraa 2 </v>
      </c>
      <c r="C14" s="10" t="s">
        <v>213</v>
      </c>
      <c r="D14" s="10" t="s">
        <v>212</v>
      </c>
      <c r="E14" s="10" t="s">
        <v>213</v>
      </c>
      <c r="F14" s="15" t="str">
        <f>'Teams +Groups'!H13</f>
        <v>IFAH 2</v>
      </c>
      <c r="H14" s="15" t="str">
        <f>F15</f>
        <v>Lilleström </v>
      </c>
      <c r="I14" s="10" t="s">
        <v>213</v>
      </c>
      <c r="J14" s="10" t="s">
        <v>212</v>
      </c>
      <c r="K14" s="10" t="s">
        <v>213</v>
      </c>
      <c r="L14" s="15" t="str">
        <f>F16</f>
        <v>Norrköping Rhinos </v>
      </c>
      <c r="N14" t="s">
        <v>69</v>
      </c>
      <c r="O14" t="str">
        <f>IF(SUM(Major_A[GP])=12,Tables!B20,N14)</f>
        <v>GA 1</v>
      </c>
      <c r="Q14" s="2" t="s">
        <v>79</v>
      </c>
      <c r="R14" s="30" t="str">
        <f>O19</f>
        <v>GB 1</v>
      </c>
      <c r="S14" s="10">
        <v>0</v>
      </c>
      <c r="T14" s="10" t="s">
        <v>212</v>
      </c>
      <c r="U14" s="10">
        <v>0</v>
      </c>
      <c r="V14" s="30" t="s">
        <v>81</v>
      </c>
      <c r="W14" t="str">
        <f>IF($S14&gt;$U14,$R14,IF($U14&gt;$S14,$V14,"W QF 2"))</f>
        <v>W QF 2</v>
      </c>
      <c r="X14" t="str">
        <f>IF($S14&lt;$U14,$R14,IF($U14&lt;$S14,$V14,"L QF 2"))</f>
        <v>L QF 2</v>
      </c>
      <c r="Z14" s="2" t="s">
        <v>82</v>
      </c>
      <c r="AA14" s="30" t="str">
        <f>W14</f>
        <v>W QF 2</v>
      </c>
      <c r="AB14" s="10">
        <v>0</v>
      </c>
      <c r="AC14" s="10" t="s">
        <v>212</v>
      </c>
      <c r="AD14" s="10">
        <v>0</v>
      </c>
      <c r="AE14" s="30" t="str">
        <f>W16</f>
        <v>W QF 4</v>
      </c>
      <c r="AF14" t="str">
        <f>IF($AB14&gt;$AD14,$AA14,IF($AD14&gt;$AB14,$AE14,"W SF 2"))</f>
        <v>W SF 2</v>
      </c>
      <c r="AG14" t="str">
        <f>IF($AB14&lt;$AD14,$AA14,IF($AD14&lt;$AB14,$AE14,"L SF 2"))</f>
        <v>L SF 2</v>
      </c>
      <c r="AI14" s="2" t="s">
        <v>85</v>
      </c>
      <c r="AJ14" s="30" t="str">
        <f>AG13</f>
        <v>L SF 1</v>
      </c>
      <c r="AK14" s="10">
        <v>0</v>
      </c>
      <c r="AL14" s="10" t="s">
        <v>212</v>
      </c>
      <c r="AM14" s="10">
        <v>0</v>
      </c>
      <c r="AN14" s="30" t="str">
        <f>AG14</f>
        <v>L SF 2</v>
      </c>
    </row>
    <row r="15" spans="1:40" x14ac:dyDescent="0.3">
      <c r="A15" s="5" t="s">
        <v>88</v>
      </c>
      <c r="B15" s="15" t="str">
        <f>'Teams +Groups'!H12</f>
        <v>Aabenraa 2 </v>
      </c>
      <c r="C15" s="10" t="s">
        <v>213</v>
      </c>
      <c r="D15" s="10" t="s">
        <v>212</v>
      </c>
      <c r="E15" s="10" t="s">
        <v>213</v>
      </c>
      <c r="F15" s="15" t="str">
        <f>'Teams +Groups'!H14</f>
        <v>Lilleström </v>
      </c>
      <c r="H15" s="15" t="str">
        <f>F16</f>
        <v>Norrköping Rhinos </v>
      </c>
      <c r="I15" s="10" t="s">
        <v>213</v>
      </c>
      <c r="J15" s="10" t="s">
        <v>212</v>
      </c>
      <c r="K15" s="10" t="s">
        <v>213</v>
      </c>
      <c r="L15" s="15" t="str">
        <f>F14</f>
        <v>IFAH 2</v>
      </c>
      <c r="N15" t="s">
        <v>89</v>
      </c>
      <c r="O15" t="str">
        <f>IF(SUM(Major_A[GP])=12,Tables!B21,N15)</f>
        <v>GA 2</v>
      </c>
      <c r="Q15" s="2" t="s">
        <v>90</v>
      </c>
      <c r="R15" s="30" t="str">
        <f>O15</f>
        <v>GA 2</v>
      </c>
      <c r="S15" s="10">
        <v>0</v>
      </c>
      <c r="T15" s="10" t="s">
        <v>212</v>
      </c>
      <c r="U15" s="10">
        <v>0</v>
      </c>
      <c r="V15" s="30" t="s">
        <v>91</v>
      </c>
      <c r="W15" t="str">
        <f>IF($S15&gt;$U15,$R15,IF($U15&gt;$S15,$V15,"W QF 3"))</f>
        <v>W QF 3</v>
      </c>
      <c r="X15" t="str">
        <f>IF($S15&lt;$U15,$R15,IF($U15&lt;$S15,$V15,"L QF 3"))</f>
        <v>L QF 3</v>
      </c>
      <c r="Z15" s="2" t="s">
        <v>96</v>
      </c>
    </row>
    <row r="16" spans="1:40" x14ac:dyDescent="0.3">
      <c r="A16" s="5" t="s">
        <v>92</v>
      </c>
      <c r="B16" s="15" t="str">
        <f>'Teams +Groups'!H12</f>
        <v>Aabenraa 2 </v>
      </c>
      <c r="C16" s="10" t="s">
        <v>213</v>
      </c>
      <c r="D16" s="10" t="s">
        <v>212</v>
      </c>
      <c r="E16" s="10" t="s">
        <v>213</v>
      </c>
      <c r="F16" s="15" t="str">
        <f>'Teams +Groups'!H15</f>
        <v>Norrköping Rhinos </v>
      </c>
      <c r="H16" s="15" t="str">
        <f>F14</f>
        <v>IFAH 2</v>
      </c>
      <c r="I16" s="10" t="s">
        <v>213</v>
      </c>
      <c r="J16" s="10" t="s">
        <v>212</v>
      </c>
      <c r="K16" s="10" t="s">
        <v>213</v>
      </c>
      <c r="L16" s="15" t="str">
        <f>F15</f>
        <v>Lilleström </v>
      </c>
      <c r="N16" t="s">
        <v>93</v>
      </c>
      <c r="O16" t="str">
        <f>IF(SUM(Major_A[GP])=12,Tables!B22,N16)</f>
        <v>GA 3</v>
      </c>
      <c r="Q16" s="2" t="s">
        <v>94</v>
      </c>
      <c r="R16" s="30" t="str">
        <f>O20</f>
        <v>GB 2</v>
      </c>
      <c r="S16" s="10">
        <v>0</v>
      </c>
      <c r="T16" s="10" t="s">
        <v>212</v>
      </c>
      <c r="U16" s="10">
        <v>0</v>
      </c>
      <c r="V16" s="30" t="s">
        <v>93</v>
      </c>
      <c r="W16" t="str">
        <f>IF($S16&gt;$U16,$R16,IF($U16&gt;$S16,$V16,"W QF 4"))</f>
        <v>W QF 4</v>
      </c>
      <c r="X16" t="str">
        <f>IF($S16&lt;$U16,$R16,IF($U16&lt;$S16,$V16,"L QF 4"))</f>
        <v>L QF 4</v>
      </c>
      <c r="Z16" s="2" t="s">
        <v>97</v>
      </c>
      <c r="AA16" s="30" t="str">
        <f>X13</f>
        <v>L QF 1</v>
      </c>
      <c r="AB16" s="10">
        <v>0</v>
      </c>
      <c r="AC16" s="10" t="s">
        <v>212</v>
      </c>
      <c r="AD16" s="10">
        <v>0</v>
      </c>
      <c r="AE16" s="30" t="str">
        <f>X15</f>
        <v>L QF 3</v>
      </c>
      <c r="AF16" t="str">
        <f>IF($AB16&gt;$AD16,$AA16,IF($AD16&gt;$AB16,$AE16,"W PQ 1"))</f>
        <v>W PQ 1</v>
      </c>
      <c r="AG16" t="str">
        <f>IF($AB16&lt;$AD16,$AA16,IF($AD16&lt;$AB16,$AE16,"L PQ 1"))</f>
        <v>L PQ 1</v>
      </c>
      <c r="AI16" s="22" t="s">
        <v>100</v>
      </c>
      <c r="AJ16" s="30" t="str">
        <f>AF16</f>
        <v>W PQ 1</v>
      </c>
      <c r="AK16" s="10">
        <v>0</v>
      </c>
      <c r="AL16" s="10" t="s">
        <v>212</v>
      </c>
      <c r="AM16" s="10">
        <v>0</v>
      </c>
      <c r="AN16" s="30" t="str">
        <f>AF17</f>
        <v>W PQ 2</v>
      </c>
    </row>
    <row r="17" spans="1:40" x14ac:dyDescent="0.3">
      <c r="C17" s="10" t="s">
        <v>213</v>
      </c>
      <c r="D17"/>
      <c r="E17" s="10" t="s">
        <v>213</v>
      </c>
      <c r="I17" s="10" t="s">
        <v>213</v>
      </c>
      <c r="J17"/>
      <c r="K17" s="10" t="s">
        <v>213</v>
      </c>
      <c r="N17" t="s">
        <v>81</v>
      </c>
      <c r="O17" t="str">
        <f>IF(SUM(Major_A[GP])=12,Tables!B23,N17)</f>
        <v>GA 4</v>
      </c>
      <c r="T17"/>
      <c r="Z17" s="2" t="s">
        <v>103</v>
      </c>
      <c r="AA17" s="30" t="str">
        <f>X14</f>
        <v>L QF 2</v>
      </c>
      <c r="AB17" s="10">
        <v>0</v>
      </c>
      <c r="AC17" s="10" t="s">
        <v>212</v>
      </c>
      <c r="AD17" s="10">
        <v>0</v>
      </c>
      <c r="AE17" s="30" t="str">
        <f>X16</f>
        <v>L QF 4</v>
      </c>
      <c r="AF17" t="str">
        <f>IF($AB17&gt;$AD17,$AA17,IF($AD17&gt;$AB17,$AE17,"W PQ 2"))</f>
        <v>W PQ 2</v>
      </c>
      <c r="AG17" t="str">
        <f>IF($AB17&lt;$AD17,$AA17,IF($AD17&lt;$AB17,$AE17,"L PQ 2"))</f>
        <v>L PQ 2</v>
      </c>
      <c r="AI17" s="2" t="s">
        <v>106</v>
      </c>
      <c r="AJ17" s="30" t="str">
        <f>AG16</f>
        <v>L PQ 1</v>
      </c>
      <c r="AK17" s="10">
        <v>0</v>
      </c>
      <c r="AL17" s="10" t="s">
        <v>212</v>
      </c>
      <c r="AM17" s="10">
        <v>0</v>
      </c>
      <c r="AN17" s="30" t="str">
        <f>AG17</f>
        <v>L PQ 2</v>
      </c>
    </row>
    <row r="18" spans="1:40" x14ac:dyDescent="0.3">
      <c r="A18" s="6" t="s">
        <v>2</v>
      </c>
      <c r="C18" s="10" t="s">
        <v>213</v>
      </c>
      <c r="D18"/>
      <c r="E18" s="10" t="s">
        <v>213</v>
      </c>
      <c r="I18" s="10" t="s">
        <v>213</v>
      </c>
      <c r="J18"/>
      <c r="K18" s="10" t="s">
        <v>213</v>
      </c>
      <c r="T18"/>
      <c r="AC18"/>
      <c r="AL18"/>
    </row>
    <row r="19" spans="1:40" x14ac:dyDescent="0.3">
      <c r="A19" s="6" t="s">
        <v>77</v>
      </c>
      <c r="B19" s="16" t="str">
        <f>'Teams +Groups'!I12</f>
        <v>Gårslev 2 </v>
      </c>
      <c r="C19" s="10" t="s">
        <v>213</v>
      </c>
      <c r="D19" s="10" t="s">
        <v>212</v>
      </c>
      <c r="E19" s="10" t="s">
        <v>213</v>
      </c>
      <c r="F19" s="16" t="str">
        <f>'Teams +Groups'!I13</f>
        <v>FIFH Malmö 2 </v>
      </c>
      <c r="H19" s="16" t="str">
        <f>F20</f>
        <v>KF Heros 2</v>
      </c>
      <c r="I19" s="10" t="s">
        <v>213</v>
      </c>
      <c r="J19" s="10" t="s">
        <v>212</v>
      </c>
      <c r="K19" s="10" t="s">
        <v>213</v>
      </c>
      <c r="L19" s="16" t="str">
        <f>F21</f>
        <v>Umeå Wolfs</v>
      </c>
      <c r="N19" t="s">
        <v>80</v>
      </c>
      <c r="O19" t="str">
        <f>IF(SUM(Major_B[GP])=12,Tables!B28,N19)</f>
        <v>GB 1</v>
      </c>
      <c r="T19"/>
      <c r="AC19"/>
      <c r="AL19"/>
    </row>
    <row r="20" spans="1:40" x14ac:dyDescent="0.3">
      <c r="A20" s="6" t="s">
        <v>88</v>
      </c>
      <c r="B20" s="16" t="str">
        <f>'Teams +Groups'!I12</f>
        <v>Gårslev 2 </v>
      </c>
      <c r="D20" s="10" t="s">
        <v>212</v>
      </c>
      <c r="E20" s="10" t="s">
        <v>213</v>
      </c>
      <c r="F20" s="16" t="str">
        <f>'Teams +Groups'!I14</f>
        <v>KF Heros 2</v>
      </c>
      <c r="H20" s="16" t="str">
        <f>F21</f>
        <v>Umeå Wolfs</v>
      </c>
      <c r="I20" s="10" t="s">
        <v>213</v>
      </c>
      <c r="J20" s="10" t="s">
        <v>212</v>
      </c>
      <c r="K20" s="10" t="s">
        <v>213</v>
      </c>
      <c r="L20" s="16" t="str">
        <f>F19</f>
        <v>FIFH Malmö 2 </v>
      </c>
      <c r="N20" t="s">
        <v>95</v>
      </c>
      <c r="O20" t="str">
        <f>IF(SUM(Major_B[GP])=12,Tables!B29,N20)</f>
        <v>GB 2</v>
      </c>
      <c r="T20"/>
      <c r="AC20"/>
      <c r="AL20"/>
    </row>
    <row r="21" spans="1:40" x14ac:dyDescent="0.3">
      <c r="A21" s="6" t="s">
        <v>92</v>
      </c>
      <c r="B21" s="16" t="str">
        <f>'Teams +Groups'!I12</f>
        <v>Gårslev 2 </v>
      </c>
      <c r="C21" s="10" t="s">
        <v>213</v>
      </c>
      <c r="D21" s="10" t="s">
        <v>212</v>
      </c>
      <c r="E21" s="10" t="s">
        <v>213</v>
      </c>
      <c r="F21" s="16" t="str">
        <f>'Teams +Groups'!I15</f>
        <v>Umeå Wolfs</v>
      </c>
      <c r="H21" s="16" t="str">
        <f>F19</f>
        <v>FIFH Malmö 2 </v>
      </c>
      <c r="I21" s="10" t="s">
        <v>213</v>
      </c>
      <c r="J21" s="10" t="s">
        <v>212</v>
      </c>
      <c r="K21" s="10" t="s">
        <v>213</v>
      </c>
      <c r="L21" s="16" t="str">
        <f>F20</f>
        <v>KF Heros 2</v>
      </c>
      <c r="N21" t="s">
        <v>91</v>
      </c>
      <c r="O21" t="str">
        <f>IF(SUM(Major_B[GP])=12,Tables!B30,N21)</f>
        <v>GB 3</v>
      </c>
      <c r="T21"/>
      <c r="AC21"/>
      <c r="AL21"/>
    </row>
    <row r="22" spans="1:40" x14ac:dyDescent="0.3">
      <c r="C22" s="10" t="s">
        <v>213</v>
      </c>
      <c r="D22"/>
      <c r="E22" s="10" t="s">
        <v>213</v>
      </c>
      <c r="I22" s="10" t="s">
        <v>213</v>
      </c>
      <c r="J22"/>
      <c r="K22" s="10" t="s">
        <v>213</v>
      </c>
      <c r="N22" t="s">
        <v>70</v>
      </c>
      <c r="O22" t="str">
        <f>IF(SUM(Major_B[GP])=12,Tables!B31,N22)</f>
        <v>GB 4</v>
      </c>
      <c r="T22"/>
      <c r="AC22"/>
      <c r="AL22"/>
    </row>
    <row r="23" spans="1:40" x14ac:dyDescent="0.3">
      <c r="A23" s="25" t="s">
        <v>110</v>
      </c>
      <c r="C23" s="10" t="s">
        <v>213</v>
      </c>
      <c r="D23"/>
      <c r="E23" s="10" t="s">
        <v>213</v>
      </c>
      <c r="I23" s="10" t="s">
        <v>213</v>
      </c>
      <c r="J23"/>
      <c r="K23" s="10" t="s">
        <v>213</v>
      </c>
      <c r="T23"/>
      <c r="W23" t="s">
        <v>194</v>
      </c>
      <c r="X23" t="s">
        <v>211</v>
      </c>
      <c r="AC23"/>
      <c r="AL23"/>
    </row>
    <row r="24" spans="1:40" x14ac:dyDescent="0.3">
      <c r="A24" s="7" t="s">
        <v>1</v>
      </c>
      <c r="C24" s="10" t="s">
        <v>213</v>
      </c>
      <c r="E24" s="10" t="s">
        <v>213</v>
      </c>
      <c r="I24" s="10" t="s">
        <v>213</v>
      </c>
      <c r="K24" s="10" t="s">
        <v>213</v>
      </c>
      <c r="P24" s="10"/>
      <c r="Q24" s="2" t="s">
        <v>71</v>
      </c>
      <c r="R24" s="28" t="str">
        <f>O25</f>
        <v>GA 1</v>
      </c>
      <c r="S24" s="10">
        <v>0</v>
      </c>
      <c r="T24" s="10" t="s">
        <v>212</v>
      </c>
      <c r="U24" s="10">
        <v>0</v>
      </c>
      <c r="V24" s="28" t="str">
        <f>O31</f>
        <v>GB 2</v>
      </c>
      <c r="W24" t="str">
        <f>IF($S24&gt;$U24,$R24,IF($U24&gt;$S24,$V24,"W SF 1"))</f>
        <v>W SF 1</v>
      </c>
      <c r="X24" t="str">
        <f>IF($S24&lt;$U24,$R24,IF($U24&lt;$S24,$V24,"L SF 1"))</f>
        <v>L SF 1</v>
      </c>
      <c r="Z24" s="2" t="s">
        <v>74</v>
      </c>
      <c r="AA24" s="28" t="str">
        <f>W24</f>
        <v>W SF 1</v>
      </c>
      <c r="AB24" s="10">
        <v>0</v>
      </c>
      <c r="AC24" s="10" t="s">
        <v>212</v>
      </c>
      <c r="AD24" s="10">
        <v>0</v>
      </c>
      <c r="AE24" s="28" t="str">
        <f>W25</f>
        <v>W SF 2</v>
      </c>
    </row>
    <row r="25" spans="1:40" x14ac:dyDescent="0.3">
      <c r="A25" s="7" t="s">
        <v>77</v>
      </c>
      <c r="B25" s="11" t="str">
        <f>'Teams +Groups'!H22</f>
        <v>Alberta 1</v>
      </c>
      <c r="C25" s="10" t="s">
        <v>213</v>
      </c>
      <c r="D25" s="10" t="s">
        <v>212</v>
      </c>
      <c r="E25" s="10" t="s">
        <v>213</v>
      </c>
      <c r="F25" s="11" t="str">
        <f>'Teams +Groups'!H23</f>
        <v>Eskilstuna Tanks</v>
      </c>
      <c r="H25" s="11" t="str">
        <f>F26</f>
        <v>Boston 2</v>
      </c>
      <c r="I25" s="10" t="s">
        <v>213</v>
      </c>
      <c r="J25" s="10" t="s">
        <v>212</v>
      </c>
      <c r="K25" s="10" t="s">
        <v>213</v>
      </c>
      <c r="L25" s="11" t="str">
        <f>F27</f>
        <v>Ontario </v>
      </c>
      <c r="N25" t="s">
        <v>69</v>
      </c>
      <c r="O25" t="str">
        <f>IF(SUM(Div_1_A[GP])=12,Tables!B36,N25)</f>
        <v>GA 1</v>
      </c>
      <c r="P25" s="10"/>
      <c r="Q25" s="2" t="s">
        <v>82</v>
      </c>
      <c r="R25" s="28" t="str">
        <f>O30</f>
        <v>GB 1</v>
      </c>
      <c r="S25" s="10">
        <v>0</v>
      </c>
      <c r="T25" s="10" t="s">
        <v>212</v>
      </c>
      <c r="U25" s="10">
        <v>0</v>
      </c>
      <c r="V25" s="28" t="s">
        <v>89</v>
      </c>
      <c r="W25" t="str">
        <f>IF($S25&gt;$U25,$R25,IF($U25&gt;$S25,$V25,"W SF 2"))</f>
        <v>W SF 2</v>
      </c>
      <c r="X25" t="str">
        <f>IF($S25&lt;$U25,$R25,IF($U25&lt;$S25,$V25,"L SF 2"))</f>
        <v>L SF 2</v>
      </c>
      <c r="Z25" s="2" t="s">
        <v>85</v>
      </c>
      <c r="AA25" s="28" t="str">
        <f>X24</f>
        <v>L SF 1</v>
      </c>
      <c r="AB25" s="10">
        <v>0</v>
      </c>
      <c r="AC25" s="10" t="s">
        <v>212</v>
      </c>
      <c r="AD25" s="10">
        <v>0</v>
      </c>
      <c r="AE25" s="28" t="str">
        <f>X25</f>
        <v>L SF 2</v>
      </c>
    </row>
    <row r="26" spans="1:40" x14ac:dyDescent="0.3">
      <c r="A26" s="7" t="s">
        <v>88</v>
      </c>
      <c r="B26" s="11" t="str">
        <f>'Teams +Groups'!H22</f>
        <v>Alberta 1</v>
      </c>
      <c r="C26" s="10" t="s">
        <v>213</v>
      </c>
      <c r="D26" s="10" t="s">
        <v>212</v>
      </c>
      <c r="E26" s="10" t="s">
        <v>213</v>
      </c>
      <c r="F26" s="11" t="str">
        <f>'Teams +Groups'!H24</f>
        <v>Boston 2</v>
      </c>
      <c r="H26" s="11" t="str">
        <f>F27</f>
        <v>Ontario </v>
      </c>
      <c r="I26" s="10" t="s">
        <v>213</v>
      </c>
      <c r="J26" s="10" t="s">
        <v>212</v>
      </c>
      <c r="K26" s="10" t="s">
        <v>213</v>
      </c>
      <c r="L26" s="11" t="str">
        <f>F25</f>
        <v>Eskilstuna Tanks</v>
      </c>
      <c r="N26" t="s">
        <v>89</v>
      </c>
      <c r="O26" t="str">
        <f>IF(SUM(Div_1_A[GP])=12,Tables!B37,N26)</f>
        <v>GA 2</v>
      </c>
      <c r="P26" s="10"/>
      <c r="T26"/>
      <c r="AC26"/>
      <c r="AL26"/>
    </row>
    <row r="27" spans="1:40" x14ac:dyDescent="0.3">
      <c r="A27" s="7" t="s">
        <v>92</v>
      </c>
      <c r="B27" s="11" t="str">
        <f>'Teams +Groups'!H22</f>
        <v>Alberta 1</v>
      </c>
      <c r="C27" s="10" t="s">
        <v>213</v>
      </c>
      <c r="D27" s="10" t="s">
        <v>212</v>
      </c>
      <c r="E27" s="10" t="s">
        <v>213</v>
      </c>
      <c r="F27" s="11" t="str">
        <f>'Teams +Groups'!H25</f>
        <v>Ontario </v>
      </c>
      <c r="H27" s="11" t="str">
        <f>F25</f>
        <v>Eskilstuna Tanks</v>
      </c>
      <c r="I27" s="10" t="s">
        <v>213</v>
      </c>
      <c r="J27" s="10" t="s">
        <v>212</v>
      </c>
      <c r="K27" s="10" t="s">
        <v>213</v>
      </c>
      <c r="L27" s="11" t="str">
        <f>F26</f>
        <v>Boston 2</v>
      </c>
      <c r="N27" t="s">
        <v>93</v>
      </c>
      <c r="O27" t="str">
        <f>IF(SUM(Div_1_A[GP])=12,Tables!B38,N27)</f>
        <v>GA 3</v>
      </c>
      <c r="P27" s="10"/>
      <c r="T27"/>
      <c r="AC27"/>
      <c r="AL27"/>
    </row>
    <row r="28" spans="1:40" x14ac:dyDescent="0.3">
      <c r="A28"/>
      <c r="C28" s="10" t="s">
        <v>213</v>
      </c>
      <c r="D28"/>
      <c r="E28" s="10" t="s">
        <v>213</v>
      </c>
      <c r="I28" s="10" t="s">
        <v>213</v>
      </c>
      <c r="J28"/>
      <c r="K28" s="10" t="s">
        <v>213</v>
      </c>
      <c r="N28" t="s">
        <v>81</v>
      </c>
      <c r="O28" t="str">
        <f>IF(SUM(Div_1_A[GP])=12,Tables!B39,N28)</f>
        <v>GA 4</v>
      </c>
      <c r="P28" s="10"/>
      <c r="T28"/>
      <c r="AC28"/>
      <c r="AL28"/>
    </row>
    <row r="29" spans="1:40" x14ac:dyDescent="0.3">
      <c r="A29" s="8" t="s">
        <v>2</v>
      </c>
      <c r="C29" s="10" t="s">
        <v>213</v>
      </c>
      <c r="D29"/>
      <c r="E29" s="10" t="s">
        <v>213</v>
      </c>
      <c r="I29" s="10" t="s">
        <v>213</v>
      </c>
      <c r="J29"/>
      <c r="K29" s="10" t="s">
        <v>213</v>
      </c>
      <c r="P29" s="10"/>
      <c r="T29"/>
      <c r="W29" t="s">
        <v>194</v>
      </c>
      <c r="X29" t="s">
        <v>211</v>
      </c>
      <c r="AC29"/>
      <c r="AL29"/>
    </row>
    <row r="30" spans="1:40" x14ac:dyDescent="0.3">
      <c r="A30" s="8" t="s">
        <v>77</v>
      </c>
      <c r="B30" s="12" t="str">
        <f>'Teams +Groups'!I22</f>
        <v>IFAH 3</v>
      </c>
      <c r="C30" s="10" t="s">
        <v>213</v>
      </c>
      <c r="D30" s="10" t="s">
        <v>212</v>
      </c>
      <c r="E30" s="10" t="s">
        <v>213</v>
      </c>
      <c r="F30" s="12" t="str">
        <f>'Teams +Groups'!I23</f>
        <v>Alberta 2</v>
      </c>
      <c r="H30" s="12" t="str">
        <f>F31</f>
        <v>Boston 1</v>
      </c>
      <c r="I30" s="10" t="s">
        <v>213</v>
      </c>
      <c r="J30" s="10" t="s">
        <v>212</v>
      </c>
      <c r="K30" s="10" t="s">
        <v>213</v>
      </c>
      <c r="L30" s="12" t="str">
        <f>F32</f>
        <v>FIFH Malmö 3 </v>
      </c>
      <c r="N30" t="s">
        <v>80</v>
      </c>
      <c r="O30" t="str">
        <f>IF(SUM(Div_1_B[GP])=12,Tables!B44,N30)</f>
        <v>GB 1</v>
      </c>
      <c r="P30" s="10"/>
      <c r="Q30" s="2" t="s">
        <v>71</v>
      </c>
      <c r="R30" s="27" t="str">
        <f>O27</f>
        <v>GA 3</v>
      </c>
      <c r="S30" s="10">
        <v>0</v>
      </c>
      <c r="T30" s="10" t="s">
        <v>212</v>
      </c>
      <c r="U30" s="10">
        <v>0</v>
      </c>
      <c r="V30" s="27" t="str">
        <f>O33</f>
        <v>GB 4</v>
      </c>
      <c r="W30" t="str">
        <f>IF($S30&gt;$U30,$R30,IF($U30&gt;$S30,$V30,"W SF 1"))</f>
        <v>W SF 1</v>
      </c>
      <c r="X30" t="str">
        <f>IF($S30&lt;$U30,$R30,IF($U30&lt;$S30,$V30,"L SF 1"))</f>
        <v>L SF 1</v>
      </c>
      <c r="Z30" s="2" t="s">
        <v>74</v>
      </c>
      <c r="AA30" s="27" t="str">
        <f>W30</f>
        <v>W SF 1</v>
      </c>
      <c r="AB30" s="10">
        <v>0</v>
      </c>
      <c r="AC30" s="10" t="s">
        <v>212</v>
      </c>
      <c r="AD30" s="10">
        <v>0</v>
      </c>
      <c r="AE30" s="27" t="str">
        <f>W31</f>
        <v>W SF 2</v>
      </c>
    </row>
    <row r="31" spans="1:40" x14ac:dyDescent="0.3">
      <c r="A31" s="8" t="s">
        <v>88</v>
      </c>
      <c r="B31" s="12" t="str">
        <f>'Teams +Groups'!I22</f>
        <v>IFAH 3</v>
      </c>
      <c r="C31" s="10" t="s">
        <v>213</v>
      </c>
      <c r="D31" s="10" t="s">
        <v>212</v>
      </c>
      <c r="E31" s="10" t="s">
        <v>213</v>
      </c>
      <c r="F31" s="12" t="str">
        <f>'Teams +Groups'!I24</f>
        <v>Boston 1</v>
      </c>
      <c r="H31" s="12" t="str">
        <f>F32</f>
        <v>FIFH Malmö 3 </v>
      </c>
      <c r="I31" s="10" t="s">
        <v>213</v>
      </c>
      <c r="J31" s="10" t="s">
        <v>212</v>
      </c>
      <c r="K31" s="10" t="s">
        <v>213</v>
      </c>
      <c r="L31" s="12" t="str">
        <f>F30</f>
        <v>Alberta 2</v>
      </c>
      <c r="N31" t="s">
        <v>95</v>
      </c>
      <c r="O31" t="str">
        <f>IF(SUM(Div_1_B[GP])=12,Tables!B45,N31)</f>
        <v>GB 2</v>
      </c>
      <c r="P31" s="10"/>
      <c r="Q31" s="2" t="s">
        <v>82</v>
      </c>
      <c r="R31" s="27" t="str">
        <f>O32</f>
        <v>GB 3</v>
      </c>
      <c r="S31" s="10">
        <v>0</v>
      </c>
      <c r="T31" s="10" t="s">
        <v>212</v>
      </c>
      <c r="U31" s="10">
        <v>0</v>
      </c>
      <c r="V31" s="27" t="str">
        <f>O28</f>
        <v>GA 4</v>
      </c>
      <c r="W31" t="str">
        <f>IF($S31&gt;$U31,$R31,IF($U31&gt;$S31,$V31,"W SF 2"))</f>
        <v>W SF 2</v>
      </c>
      <c r="X31" t="str">
        <f>IF($S31&lt;$U31,$R31,IF($U31&lt;$S31,$V31,"L SF 2"))</f>
        <v>L SF 2</v>
      </c>
      <c r="Z31" s="2" t="s">
        <v>85</v>
      </c>
      <c r="AA31" s="27" t="str">
        <f>X30</f>
        <v>L SF 1</v>
      </c>
      <c r="AB31" s="10">
        <v>0</v>
      </c>
      <c r="AC31" s="10" t="s">
        <v>212</v>
      </c>
      <c r="AD31" s="10">
        <v>0</v>
      </c>
      <c r="AE31" s="27" t="str">
        <f>X31</f>
        <v>L SF 2</v>
      </c>
    </row>
    <row r="32" spans="1:40" x14ac:dyDescent="0.3">
      <c r="A32" s="8" t="s">
        <v>92</v>
      </c>
      <c r="B32" s="12" t="str">
        <f>'Teams +Groups'!I22</f>
        <v>IFAH 3</v>
      </c>
      <c r="C32" s="10" t="s">
        <v>213</v>
      </c>
      <c r="D32" s="10" t="s">
        <v>212</v>
      </c>
      <c r="E32" s="10" t="s">
        <v>213</v>
      </c>
      <c r="F32" s="12" t="str">
        <f>'Teams +Groups'!I25</f>
        <v>FIFH Malmö 3 </v>
      </c>
      <c r="H32" s="12" t="str">
        <f>F30</f>
        <v>Alberta 2</v>
      </c>
      <c r="I32" s="10" t="s">
        <v>213</v>
      </c>
      <c r="J32" s="10" t="s">
        <v>212</v>
      </c>
      <c r="K32" s="10" t="s">
        <v>213</v>
      </c>
      <c r="L32" s="12" t="str">
        <f>F31</f>
        <v>Boston 1</v>
      </c>
      <c r="N32" t="s">
        <v>91</v>
      </c>
      <c r="O32" t="str">
        <f>IF(SUM(Div_1_B[GP])=12,Tables!B46,N32)</f>
        <v>GB 3</v>
      </c>
      <c r="P32" s="10"/>
      <c r="T32"/>
      <c r="AC32"/>
      <c r="AL32"/>
    </row>
    <row r="33" spans="4:40" x14ac:dyDescent="0.3">
      <c r="D33"/>
      <c r="J33"/>
      <c r="N33" t="s">
        <v>70</v>
      </c>
      <c r="O33" t="str">
        <f>IF(SUM(Div_1_B[GP])=12,Tables!B47,N33)</f>
        <v>GB 4</v>
      </c>
      <c r="P33" s="10"/>
      <c r="T33"/>
      <c r="AC33"/>
      <c r="AL33"/>
    </row>
    <row r="34" spans="4:40" x14ac:dyDescent="0.3">
      <c r="P34" s="10"/>
      <c r="AI34" s="2"/>
    </row>
    <row r="35" spans="4:40" x14ac:dyDescent="0.3">
      <c r="AI35" s="2"/>
      <c r="AJ35" s="37"/>
      <c r="AN35" s="37"/>
    </row>
    <row r="36" spans="4:40" x14ac:dyDescent="0.3">
      <c r="AI36" s="2"/>
      <c r="AJ36" s="37"/>
      <c r="AN36" s="37"/>
    </row>
  </sheetData>
  <sheetProtection sheet="1" objects="1" scenarios="1"/>
  <protectedRanges>
    <protectedRange sqref="E1:E1048576 C1:C1048576 I1:I1048576 K1:K1048576 S1:S1048576 U1:U1048576 AB1:AB1048576 AD1:AD1048576 AK1:AK1048576 AM1:AM1048576" name="Range1"/>
  </protectedRange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6A5A-22AC-4D02-BB73-1E57B621A201}">
  <dimension ref="B1:Z48"/>
  <sheetViews>
    <sheetView zoomScale="105" zoomScaleNormal="130" workbookViewId="0">
      <selection activeCell="K4" sqref="K4"/>
    </sheetView>
  </sheetViews>
  <sheetFormatPr defaultRowHeight="14.4" x14ac:dyDescent="0.3"/>
  <cols>
    <col min="2" max="2" width="18.109375" bestFit="1" customWidth="1"/>
    <col min="10" max="10" width="10.5546875" bestFit="1" customWidth="1"/>
    <col min="12" max="12" width="0" hidden="1" customWidth="1"/>
    <col min="13" max="13" width="18.109375" hidden="1" customWidth="1"/>
    <col min="14" max="14" width="5.88671875" style="10" hidden="1" customWidth="1"/>
    <col min="15" max="15" width="1.6640625" style="10" hidden="1" customWidth="1"/>
    <col min="16" max="16" width="5.88671875" style="10" hidden="1" customWidth="1"/>
    <col min="17" max="17" width="18.109375" hidden="1" customWidth="1"/>
    <col min="18" max="18" width="9.109375" hidden="1" customWidth="1"/>
    <col min="19" max="19" width="18.109375" hidden="1" customWidth="1"/>
    <col min="20" max="20" width="5.88671875" style="10" hidden="1" customWidth="1"/>
    <col min="21" max="21" width="1.6640625" style="10" hidden="1" customWidth="1"/>
    <col min="22" max="22" width="5.88671875" style="10" hidden="1" customWidth="1"/>
    <col min="23" max="23" width="18.109375" hidden="1" customWidth="1"/>
    <col min="24" max="25" width="0" hidden="1" customWidth="1"/>
    <col min="26" max="26" width="10.44140625" hidden="1" customWidth="1"/>
  </cols>
  <sheetData>
    <row r="1" spans="2:26" x14ac:dyDescent="0.3">
      <c r="N1" s="10" t="s">
        <v>192</v>
      </c>
      <c r="P1" s="10" t="s">
        <v>192</v>
      </c>
      <c r="S1" t="str">
        <f t="shared" ref="S1:S2" si="0">IF(M1=0,"",M1)</f>
        <v/>
      </c>
      <c r="T1" s="10" t="str">
        <f t="shared" ref="T1:V2" si="1">IF(N1=0,"",N1)</f>
        <v>Goals</v>
      </c>
      <c r="U1" s="10" t="str">
        <f t="shared" ref="U1:U2" si="2">IF(O1=0,"",O1)</f>
        <v/>
      </c>
      <c r="V1" s="10" t="str">
        <f t="shared" si="1"/>
        <v>Goals</v>
      </c>
      <c r="W1" t="str">
        <f t="shared" ref="W1:W2" si="3">IF(Q1=0,"",Q1)</f>
        <v/>
      </c>
    </row>
    <row r="2" spans="2:26" x14ac:dyDescent="0.3">
      <c r="B2" s="46" t="s">
        <v>193</v>
      </c>
      <c r="C2" s="46"/>
      <c r="D2" s="46"/>
      <c r="E2" s="46"/>
      <c r="F2" s="46"/>
      <c r="G2" s="46"/>
      <c r="H2" s="46"/>
      <c r="I2" s="46"/>
      <c r="J2" s="46"/>
      <c r="K2" s="46"/>
      <c r="M2" t="str">
        <f>Games!A2</f>
        <v>Grupp A</v>
      </c>
      <c r="S2" t="str">
        <f t="shared" si="0"/>
        <v>Grupp A</v>
      </c>
      <c r="T2" s="10" t="str">
        <f t="shared" si="1"/>
        <v/>
      </c>
      <c r="U2" s="10" t="str">
        <f t="shared" si="2"/>
        <v/>
      </c>
      <c r="V2" s="10" t="str">
        <f t="shared" si="1"/>
        <v/>
      </c>
      <c r="W2" t="str">
        <f t="shared" si="3"/>
        <v/>
      </c>
      <c r="Y2" t="s">
        <v>194</v>
      </c>
      <c r="Z2" t="s">
        <v>195</v>
      </c>
    </row>
    <row r="3" spans="2:26" x14ac:dyDescent="0.3">
      <c r="B3" t="s">
        <v>196</v>
      </c>
      <c r="C3" t="s">
        <v>197</v>
      </c>
      <c r="D3" t="s">
        <v>198</v>
      </c>
      <c r="E3" t="s">
        <v>199</v>
      </c>
      <c r="F3" t="s">
        <v>200</v>
      </c>
      <c r="G3" t="s">
        <v>201</v>
      </c>
      <c r="H3" t="s">
        <v>202</v>
      </c>
      <c r="I3" t="s">
        <v>203</v>
      </c>
      <c r="J3" t="s">
        <v>204</v>
      </c>
      <c r="K3" t="s">
        <v>205</v>
      </c>
      <c r="M3" t="str">
        <f>Games!B3</f>
        <v>IFAH 1</v>
      </c>
      <c r="N3" s="10" t="str">
        <f>Games!C3</f>
        <v xml:space="preserve"> </v>
      </c>
      <c r="O3" s="10" t="str">
        <f>Games!D3</f>
        <v>-</v>
      </c>
      <c r="P3" s="10" t="str">
        <f>Games!E3</f>
        <v xml:space="preserve"> </v>
      </c>
      <c r="Q3" t="str">
        <f>Games!F3</f>
        <v>BHV Tigers</v>
      </c>
      <c r="S3" t="str">
        <f>IF(M3=0,"",M3)</f>
        <v>IFAH 1</v>
      </c>
      <c r="T3" s="10" t="str">
        <f>IF(ISNUMBER(N3),N3,"")</f>
        <v/>
      </c>
      <c r="U3" s="10" t="str">
        <f t="shared" ref="U3:W3" si="4">IF(O3=0,"",O3)</f>
        <v>-</v>
      </c>
      <c r="V3" s="10" t="str">
        <f>IF(ISNUMBER(P3),P3,"")</f>
        <v/>
      </c>
      <c r="W3" t="str">
        <f t="shared" si="4"/>
        <v>BHV Tigers</v>
      </c>
      <c r="Y3" s="10" t="str">
        <f>IF(AND(ISNUMBER($V3),ISNUMBER($V3)),IF($T3&gt;$V3,$S3,IF($T3&lt;$V3,$W3,"Draw")),"")</f>
        <v/>
      </c>
      <c r="Z3" s="10" t="str">
        <f>IF(AND(ISNUMBER($V3),ISNUMBER($V3)),IF($T3&lt;$V3,$S3,IF($T3&gt;$V3,$W3,"Draw")),"")</f>
        <v/>
      </c>
    </row>
    <row r="4" spans="2:26" x14ac:dyDescent="0.3">
      <c r="B4" t="str">
        <f>'Teams +Groups'!H2</f>
        <v>IFAH 1</v>
      </c>
      <c r="C4" cm="1">
        <f t="array" ref="C4">SUM(($S$3:$S$8=Elite_A[[#This Row],[Team]])*(ISNUMBER($T$3:$T$8)),($W$3:$W$8=Elite_A[[#This Row],[Team]])*(ISNUMBER($V$3:$V$8)))</f>
        <v>0</v>
      </c>
      <c r="D4">
        <f>COUNTIF($Y$3:$Y$8,Elite_A[[#This Row],[Team]])</f>
        <v>0</v>
      </c>
      <c r="E4">
        <f>COUNTIF($Z$3:$Z$8,Elite_A[[#This Row],[Team]])</f>
        <v>0</v>
      </c>
      <c r="F4">
        <f>Elite_A[[#This Row],[GP]]-Elite_A[[#This Row],[W]]-Elite_A[[#This Row],[L]]</f>
        <v>0</v>
      </c>
      <c r="G4">
        <f>SUMIF($S$3:$S$8,Elite_A[[#This Row],[Team]],$T$3:$T$8) + SUMIF($W$3:$W$8,Elite_A[[#This Row],[Team]],$V$3:$V$8)</f>
        <v>0</v>
      </c>
      <c r="H4">
        <f>SUMIF($S$3:$S$8,Elite_A[[#This Row],[Team]],$V$3:$V$8) + SUMIF($W$3:$W$8,Elite_A[[#This Row],[Team]],$T$3:$T$8)</f>
        <v>0</v>
      </c>
      <c r="I4">
        <f>Elite_A[[#This Row],[SG]]-Elite_A[[#This Row],[CG]]</f>
        <v>0</v>
      </c>
      <c r="K4">
        <f>3*Elite_A[[#This Row],[W]]+Elite_A[[#This Row],[E]]</f>
        <v>0</v>
      </c>
      <c r="M4" t="str">
        <f>Games!B4</f>
        <v>IFAH 1</v>
      </c>
      <c r="N4" s="10" t="str">
        <f>Games!C4</f>
        <v xml:space="preserve"> </v>
      </c>
      <c r="O4" s="10" t="str">
        <f>Games!D4</f>
        <v>-</v>
      </c>
      <c r="P4" s="10" t="str">
        <f>Games!E4</f>
        <v xml:space="preserve"> </v>
      </c>
      <c r="Q4" t="str">
        <f>Games!F4</f>
        <v>Aabenraa</v>
      </c>
      <c r="S4" t="str">
        <f t="shared" ref="S4:S48" si="5">IF(M4=0,"",M4)</f>
        <v>IFAH 1</v>
      </c>
      <c r="T4" s="10" t="str">
        <f t="shared" ref="T4:V48" si="6">IF(ISNUMBER(N4),N4,"")</f>
        <v/>
      </c>
      <c r="U4" s="10" t="str">
        <f t="shared" ref="U4:U48" si="7">IF(O4=0,"",O4)</f>
        <v>-</v>
      </c>
      <c r="V4" s="10" t="str">
        <f t="shared" si="6"/>
        <v/>
      </c>
      <c r="W4" t="str">
        <f t="shared" ref="W4:W48" si="8">IF(Q4=0,"",Q4)</f>
        <v>Aabenraa</v>
      </c>
      <c r="Y4" s="10" t="str">
        <f t="shared" ref="Y4:Y48" si="9">IF(AND(ISNUMBER($V4),ISNUMBER($V4)),IF($T4&gt;$V4,$S4,IF($T4&lt;$V4,$W4,"Draw")),"")</f>
        <v/>
      </c>
      <c r="Z4" s="10" t="str">
        <f t="shared" ref="Z4:Z48" si="10">IF(AND(ISNUMBER($V4),ISNUMBER($V4)),IF($T4&lt;$V4,$S4,IF($T4&gt;$V4,$W4,"Draw")),"")</f>
        <v/>
      </c>
    </row>
    <row r="5" spans="2:26" x14ac:dyDescent="0.3">
      <c r="B5" t="str">
        <f>'Teams +Groups'!H3</f>
        <v>BHV Tigers</v>
      </c>
      <c r="C5" cm="1">
        <f t="array" ref="C5">SUM(($S$3:$S$8=Elite_A[[#This Row],[Team]])*(ISNUMBER($T$3:$T$8)),($W$3:$W$8=Elite_A[[#This Row],[Team]])*(ISNUMBER($V$3:$V$8)))</f>
        <v>0</v>
      </c>
      <c r="D5">
        <f>COUNTIF($Y$3:$Y$8,Elite_A[[#This Row],[Team]])</f>
        <v>0</v>
      </c>
      <c r="E5">
        <f>COUNTIF($Z$3:$Z$8,Elite_A[[#This Row],[Team]])</f>
        <v>0</v>
      </c>
      <c r="F5">
        <f>Elite_A[[#This Row],[GP]]-Elite_A[[#This Row],[W]]-Elite_A[[#This Row],[L]]</f>
        <v>0</v>
      </c>
      <c r="G5">
        <f>SUMIF($S$3:$S$8,Elite_A[[#This Row],[Team]],$T$3:$T$8) + SUMIF($W$3:$W$8,Elite_A[[#This Row],[Team]],$V$3:$V$8)</f>
        <v>0</v>
      </c>
      <c r="H5">
        <f>SUMIF($S$3:$S$8,Elite_A[[#This Row],[Team]],$V$3:$V$8) + SUMIF($W$3:$W$8,Elite_A[[#This Row],[Team]],$T$3:$T$8)</f>
        <v>0</v>
      </c>
      <c r="I5">
        <f>Elite_A[[#This Row],[SG]]-Elite_A[[#This Row],[CG]]</f>
        <v>0</v>
      </c>
      <c r="K5">
        <f>3*Elite_A[[#This Row],[W]]+Elite_A[[#This Row],[E]]</f>
        <v>0</v>
      </c>
      <c r="M5" t="str">
        <f>Games!B5</f>
        <v>IFAH 1</v>
      </c>
      <c r="N5" s="10" t="str">
        <f>Games!C5</f>
        <v xml:space="preserve"> </v>
      </c>
      <c r="O5" s="10" t="str">
        <f>Games!D5</f>
        <v>-</v>
      </c>
      <c r="P5" s="10" t="str">
        <f>Games!E5</f>
        <v xml:space="preserve"> </v>
      </c>
      <c r="Q5" t="str">
        <f>Games!F5</f>
        <v>KF Heros 1</v>
      </c>
      <c r="S5" t="str">
        <f t="shared" si="5"/>
        <v>IFAH 1</v>
      </c>
      <c r="T5" s="10" t="str">
        <f t="shared" si="6"/>
        <v/>
      </c>
      <c r="U5" s="10" t="str">
        <f t="shared" si="7"/>
        <v>-</v>
      </c>
      <c r="V5" s="10" t="str">
        <f t="shared" si="6"/>
        <v/>
      </c>
      <c r="W5" t="str">
        <f t="shared" si="8"/>
        <v>KF Heros 1</v>
      </c>
      <c r="Y5" s="10" t="str">
        <f t="shared" si="9"/>
        <v/>
      </c>
      <c r="Z5" s="10" t="str">
        <f t="shared" si="10"/>
        <v/>
      </c>
    </row>
    <row r="6" spans="2:26" x14ac:dyDescent="0.3">
      <c r="B6" t="str">
        <f>'Teams +Groups'!H4</f>
        <v>Aabenraa</v>
      </c>
      <c r="C6" cm="1">
        <f t="array" ref="C6">SUM(($S$3:$S$8=Elite_A[[#This Row],[Team]])*(ISNUMBER($T$3:$T$8)),($W$3:$W$8=Elite_A[[#This Row],[Team]])*(ISNUMBER($V$3:$V$8)))</f>
        <v>0</v>
      </c>
      <c r="D6">
        <f>COUNTIF($Y$3:$Y$8,Elite_A[[#This Row],[Team]])</f>
        <v>0</v>
      </c>
      <c r="E6">
        <f>COUNTIF($Z$3:$Z$8,Elite_A[[#This Row],[Team]])</f>
        <v>0</v>
      </c>
      <c r="F6">
        <f>Elite_A[[#This Row],[GP]]-Elite_A[[#This Row],[W]]-Elite_A[[#This Row],[L]]</f>
        <v>0</v>
      </c>
      <c r="G6">
        <f>SUMIF($S$3:$S$8,Elite_A[[#This Row],[Team]],$T$3:$T$8) + SUMIF($W$3:$W$8,Elite_A[[#This Row],[Team]],$V$3:$V$8)</f>
        <v>0</v>
      </c>
      <c r="H6">
        <f>SUMIF($S$3:$S$8,Elite_A[[#This Row],[Team]],$V$3:$V$8) + SUMIF($W$3:$W$8,Elite_A[[#This Row],[Team]],$T$3:$T$8)</f>
        <v>0</v>
      </c>
      <c r="I6">
        <f>Elite_A[[#This Row],[SG]]-Elite_A[[#This Row],[CG]]</f>
        <v>0</v>
      </c>
      <c r="K6">
        <f>3*Elite_A[[#This Row],[W]]+Elite_A[[#This Row],[E]]</f>
        <v>0</v>
      </c>
      <c r="M6" t="str">
        <f>Games!H3</f>
        <v>Aabenraa</v>
      </c>
      <c r="N6" s="10" t="str">
        <f>Games!I3</f>
        <v xml:space="preserve"> </v>
      </c>
      <c r="O6" s="10" t="str">
        <f>Games!J3</f>
        <v>-</v>
      </c>
      <c r="P6" s="10" t="str">
        <f>Games!K3</f>
        <v xml:space="preserve"> </v>
      </c>
      <c r="Q6" t="str">
        <f>Games!L3</f>
        <v>KF Heros 1</v>
      </c>
      <c r="S6" t="str">
        <f t="shared" si="5"/>
        <v>Aabenraa</v>
      </c>
      <c r="T6" s="10" t="str">
        <f t="shared" si="6"/>
        <v/>
      </c>
      <c r="U6" s="10" t="str">
        <f t="shared" si="7"/>
        <v>-</v>
      </c>
      <c r="V6" s="10" t="str">
        <f t="shared" si="6"/>
        <v/>
      </c>
      <c r="W6" t="str">
        <f t="shared" si="8"/>
        <v>KF Heros 1</v>
      </c>
      <c r="Y6" s="10" t="str">
        <f t="shared" si="9"/>
        <v/>
      </c>
      <c r="Z6" s="10" t="str">
        <f t="shared" si="10"/>
        <v/>
      </c>
    </row>
    <row r="7" spans="2:26" x14ac:dyDescent="0.3">
      <c r="B7" t="str">
        <f>'Teams +Groups'!H5</f>
        <v>KF Heros 1</v>
      </c>
      <c r="C7" cm="1">
        <f t="array" ref="C7">SUM(($S$3:$S$8=Elite_A[[#This Row],[Team]])*(ISNUMBER($T$3:$T$8)),($W$3:$W$8=Elite_A[[#This Row],[Team]])*(ISNUMBER($V$3:$V$8)))</f>
        <v>0</v>
      </c>
      <c r="D7">
        <f>COUNTIF($Y$3:$Y$8,Elite_A[[#This Row],[Team]])</f>
        <v>0</v>
      </c>
      <c r="E7">
        <f>COUNTIF($Z$3:$Z$8,Elite_A[[#This Row],[Team]])</f>
        <v>0</v>
      </c>
      <c r="F7">
        <f>Elite_A[[#This Row],[GP]]-Elite_A[[#This Row],[W]]-Elite_A[[#This Row],[L]]</f>
        <v>0</v>
      </c>
      <c r="G7">
        <f>SUMIF($S$3:$S$8,Elite_A[[#This Row],[Team]],$T$3:$T$8) + SUMIF($W$3:$W$8,Elite_A[[#This Row],[Team]],$V$3:$V$8)</f>
        <v>0</v>
      </c>
      <c r="H7">
        <f>SUMIF($S$3:$S$8,Elite_A[[#This Row],[Team]],$V$3:$V$8) + SUMIF($W$3:$W$8,Elite_A[[#This Row],[Team]],$T$3:$T$8)</f>
        <v>0</v>
      </c>
      <c r="I7">
        <f>Elite_A[[#This Row],[SG]]-Elite_A[[#This Row],[CG]]</f>
        <v>0</v>
      </c>
      <c r="K7">
        <f>3*Elite_A[[#This Row],[W]]+Elite_A[[#This Row],[E]]</f>
        <v>0</v>
      </c>
      <c r="M7" t="str">
        <f>Games!H4</f>
        <v>KF Heros 1</v>
      </c>
      <c r="N7" s="10" t="str">
        <f>Games!I4</f>
        <v xml:space="preserve"> </v>
      </c>
      <c r="O7" s="10" t="str">
        <f>Games!J4</f>
        <v>-</v>
      </c>
      <c r="P7" s="10" t="str">
        <f>Games!K4</f>
        <v xml:space="preserve"> </v>
      </c>
      <c r="Q7" t="str">
        <f>Games!L4</f>
        <v>BHV Tigers</v>
      </c>
      <c r="S7" t="str">
        <f t="shared" si="5"/>
        <v>KF Heros 1</v>
      </c>
      <c r="T7" s="10" t="str">
        <f t="shared" si="6"/>
        <v/>
      </c>
      <c r="U7" s="10" t="str">
        <f t="shared" si="7"/>
        <v>-</v>
      </c>
      <c r="V7" s="10" t="str">
        <f t="shared" si="6"/>
        <v/>
      </c>
      <c r="W7" t="str">
        <f t="shared" si="8"/>
        <v>BHV Tigers</v>
      </c>
      <c r="Y7" s="10" t="str">
        <f t="shared" si="9"/>
        <v/>
      </c>
      <c r="Z7" s="10" t="str">
        <f t="shared" si="10"/>
        <v/>
      </c>
    </row>
    <row r="8" spans="2:26" x14ac:dyDescent="0.3">
      <c r="M8" t="str">
        <f>Games!H5</f>
        <v>BHV Tigers</v>
      </c>
      <c r="N8" s="10" t="str">
        <f>Games!I5</f>
        <v xml:space="preserve"> </v>
      </c>
      <c r="O8" s="10" t="str">
        <f>Games!J5</f>
        <v>-</v>
      </c>
      <c r="P8" s="10" t="str">
        <f>Games!K5</f>
        <v xml:space="preserve"> </v>
      </c>
      <c r="Q8" t="str">
        <f>Games!L5</f>
        <v>Aabenraa</v>
      </c>
      <c r="S8" t="str">
        <f t="shared" si="5"/>
        <v>BHV Tigers</v>
      </c>
      <c r="T8" s="10" t="str">
        <f t="shared" si="6"/>
        <v/>
      </c>
      <c r="U8" s="10" t="str">
        <f t="shared" si="7"/>
        <v>-</v>
      </c>
      <c r="V8" s="10" t="str">
        <f t="shared" si="6"/>
        <v/>
      </c>
      <c r="W8" t="str">
        <f t="shared" si="8"/>
        <v>Aabenraa</v>
      </c>
      <c r="Y8" s="10" t="str">
        <f t="shared" si="9"/>
        <v/>
      </c>
      <c r="Z8" s="10" t="str">
        <f t="shared" si="10"/>
        <v/>
      </c>
    </row>
    <row r="9" spans="2:26" x14ac:dyDescent="0.3">
      <c r="S9" t="str">
        <f t="shared" si="5"/>
        <v/>
      </c>
      <c r="T9" s="10" t="str">
        <f t="shared" si="6"/>
        <v/>
      </c>
      <c r="U9" s="10" t="str">
        <f t="shared" si="7"/>
        <v/>
      </c>
      <c r="V9" s="10" t="str">
        <f t="shared" si="6"/>
        <v/>
      </c>
      <c r="W9" t="str">
        <f t="shared" si="8"/>
        <v/>
      </c>
      <c r="Y9" s="10" t="str">
        <f t="shared" si="9"/>
        <v/>
      </c>
      <c r="Z9" s="10" t="str">
        <f t="shared" si="10"/>
        <v/>
      </c>
    </row>
    <row r="10" spans="2:26" x14ac:dyDescent="0.3">
      <c r="B10" s="48" t="s">
        <v>206</v>
      </c>
      <c r="C10" s="48"/>
      <c r="D10" s="48"/>
      <c r="E10" s="48"/>
      <c r="F10" s="48"/>
      <c r="G10" s="48"/>
      <c r="H10" s="48"/>
      <c r="I10" s="48"/>
      <c r="J10" s="48"/>
      <c r="K10" s="48"/>
      <c r="M10" t="str">
        <f>Games!A7</f>
        <v>Grupp B</v>
      </c>
      <c r="S10" t="str">
        <f t="shared" si="5"/>
        <v>Grupp B</v>
      </c>
      <c r="T10" s="10" t="str">
        <f t="shared" si="6"/>
        <v/>
      </c>
      <c r="U10" s="10" t="str">
        <f t="shared" si="7"/>
        <v/>
      </c>
      <c r="V10" s="10" t="str">
        <f t="shared" si="6"/>
        <v/>
      </c>
      <c r="W10" t="str">
        <f t="shared" si="8"/>
        <v/>
      </c>
      <c r="Y10" s="10" t="str">
        <f t="shared" si="9"/>
        <v/>
      </c>
      <c r="Z10" s="10" t="str">
        <f t="shared" si="10"/>
        <v/>
      </c>
    </row>
    <row r="11" spans="2:26" x14ac:dyDescent="0.3">
      <c r="B11" t="s">
        <v>196</v>
      </c>
      <c r="C11" t="s">
        <v>197</v>
      </c>
      <c r="D11" t="s">
        <v>198</v>
      </c>
      <c r="E11" t="s">
        <v>199</v>
      </c>
      <c r="F11" t="s">
        <v>200</v>
      </c>
      <c r="G11" t="s">
        <v>201</v>
      </c>
      <c r="H11" t="s">
        <v>202</v>
      </c>
      <c r="I11" t="s">
        <v>203</v>
      </c>
      <c r="J11" t="s">
        <v>204</v>
      </c>
      <c r="K11" t="s">
        <v>205</v>
      </c>
      <c r="M11" t="str">
        <f>Games!B8</f>
        <v>BHV Lions </v>
      </c>
      <c r="N11" s="10" t="str">
        <f>Games!C8</f>
        <v xml:space="preserve"> </v>
      </c>
      <c r="O11" s="10" t="str">
        <f>Games!D8</f>
        <v>-</v>
      </c>
      <c r="P11" s="10" t="str">
        <f>Games!E8</f>
        <v xml:space="preserve"> </v>
      </c>
      <c r="Q11" t="str">
        <f>Games!F8</f>
        <v>FIFH Malmö 1</v>
      </c>
      <c r="S11" t="str">
        <f t="shared" si="5"/>
        <v>BHV Lions </v>
      </c>
      <c r="T11" s="10" t="str">
        <f t="shared" si="6"/>
        <v/>
      </c>
      <c r="U11" s="10" t="str">
        <f t="shared" si="7"/>
        <v>-</v>
      </c>
      <c r="V11" s="10" t="str">
        <f t="shared" si="6"/>
        <v/>
      </c>
      <c r="W11" t="str">
        <f t="shared" si="8"/>
        <v>FIFH Malmö 1</v>
      </c>
      <c r="Y11" s="10" t="str">
        <f t="shared" si="9"/>
        <v/>
      </c>
      <c r="Z11" s="10" t="str">
        <f t="shared" si="10"/>
        <v/>
      </c>
    </row>
    <row r="12" spans="2:26" x14ac:dyDescent="0.3">
      <c r="B12" t="str">
        <f>'Teams +Groups'!I2</f>
        <v>BHV Lions </v>
      </c>
      <c r="C12" cm="1">
        <f t="array" ref="C12">SUM(($S$11:$S$16=Elite_B[[#This Row],[Team]])*(ISNUMBER($T$11:$T$16)),($W$11:$W$16=Elite_B[[#This Row],[Team]])*(ISNUMBER($V$11:$V$16)))</f>
        <v>0</v>
      </c>
      <c r="D12">
        <f>COUNTIF($Y$11:$Y$16,Elite_B[[#This Row],[Team]])</f>
        <v>0</v>
      </c>
      <c r="E12">
        <f>COUNTIF($Z$11:$Z$16,Elite_B[[#This Row],[Team]])</f>
        <v>0</v>
      </c>
      <c r="F12">
        <f>Elite_B[[#This Row],[GP]]-Elite_B[[#This Row],[W]]-Elite_B[[#This Row],[L]]</f>
        <v>0</v>
      </c>
      <c r="G12">
        <f>SUMIF($S$11:$S$16,Elite_B[[#This Row],[Team]],$T$11:$T$16) + SUMIF($W$11:$W$16,Elite_B[[#This Row],[Team]],$V$11:$V$16)</f>
        <v>0</v>
      </c>
      <c r="H12">
        <f>SUMIF($S$11:$S$16,Elite_B[[#This Row],[Team]],$V$11:$V$16) + SUMIF($W$11:$W$16,Elite_B[[#This Row],[Team]],$T$11:$T$16)</f>
        <v>0</v>
      </c>
      <c r="I12">
        <f>Elite_B[[#This Row],[SG]]-Elite_B[[#This Row],[CG]]</f>
        <v>0</v>
      </c>
      <c r="K12">
        <f>3*Elite_B[[#This Row],[W]]+Elite_B[[#This Row],[E]]</f>
        <v>0</v>
      </c>
      <c r="M12" t="str">
        <f>Games!B9</f>
        <v>BHV Lions </v>
      </c>
      <c r="N12" s="10" t="str">
        <f>Games!C9</f>
        <v xml:space="preserve"> </v>
      </c>
      <c r="O12" s="10" t="str">
        <f>Games!D9</f>
        <v>-</v>
      </c>
      <c r="P12" s="10" t="str">
        <f>Games!E9</f>
        <v xml:space="preserve"> </v>
      </c>
      <c r="Q12" t="str">
        <f>Games!F9</f>
        <v>Arendal </v>
      </c>
      <c r="S12" t="str">
        <f t="shared" si="5"/>
        <v>BHV Lions </v>
      </c>
      <c r="T12" s="10" t="str">
        <f t="shared" si="6"/>
        <v/>
      </c>
      <c r="U12" s="10" t="str">
        <f t="shared" si="7"/>
        <v>-</v>
      </c>
      <c r="V12" s="10" t="str">
        <f t="shared" si="6"/>
        <v/>
      </c>
      <c r="W12" t="str">
        <f t="shared" si="8"/>
        <v>Arendal </v>
      </c>
      <c r="Y12" s="10" t="str">
        <f t="shared" si="9"/>
        <v/>
      </c>
      <c r="Z12" s="10" t="str">
        <f t="shared" si="10"/>
        <v/>
      </c>
    </row>
    <row r="13" spans="2:26" x14ac:dyDescent="0.3">
      <c r="B13" t="str">
        <f>'Teams +Groups'!I3</f>
        <v>FIFH Malmö 1</v>
      </c>
      <c r="C13" cm="1">
        <f t="array" ref="C13">SUM(($S$11:$S$16=Elite_B[[#This Row],[Team]])*(ISNUMBER($T$11:$T$16)),($W$11:$W$16=Elite_B[[#This Row],[Team]])*(ISNUMBER($V$11:$V$16)))</f>
        <v>0</v>
      </c>
      <c r="D13">
        <f>COUNTIF($Y$11:$Y$16,Elite_B[[#This Row],[Team]])</f>
        <v>0</v>
      </c>
      <c r="E13">
        <f>COUNTIF($Z$11:$Z$16,Elite_B[[#This Row],[Team]])</f>
        <v>0</v>
      </c>
      <c r="F13">
        <f>Elite_B[[#This Row],[GP]]-Elite_B[[#This Row],[W]]-Elite_B[[#This Row],[L]]</f>
        <v>0</v>
      </c>
      <c r="G13">
        <f>SUMIF($S$11:$S$16,Elite_B[[#This Row],[Team]],$T$11:$T$16) + SUMIF($W$11:$W$16,Elite_B[[#This Row],[Team]],$V$11:$V$16)</f>
        <v>0</v>
      </c>
      <c r="H13">
        <f>SUMIF($S$11:$S$16,Elite_B[[#This Row],[Team]],$V$11:$V$16) + SUMIF($W$11:$W$16,Elite_B[[#This Row],[Team]],$T$11:$T$16)</f>
        <v>0</v>
      </c>
      <c r="I13">
        <f>Elite_B[[#This Row],[SG]]-Elite_B[[#This Row],[CG]]</f>
        <v>0</v>
      </c>
      <c r="K13">
        <f>3*Elite_B[[#This Row],[W]]+Elite_B[[#This Row],[E]]</f>
        <v>0</v>
      </c>
      <c r="M13" t="str">
        <f>Games!B10</f>
        <v>BHV Lions </v>
      </c>
      <c r="N13" s="10" t="str">
        <f>Games!C10</f>
        <v xml:space="preserve"> </v>
      </c>
      <c r="O13" s="10" t="str">
        <f>Games!D10</f>
        <v>-</v>
      </c>
      <c r="P13" s="10" t="str">
        <f>Games!E10</f>
        <v xml:space="preserve"> </v>
      </c>
      <c r="Q13" t="str">
        <f>Games!F10</f>
        <v>Gårslev </v>
      </c>
      <c r="S13" t="str">
        <f t="shared" si="5"/>
        <v>BHV Lions </v>
      </c>
      <c r="T13" s="10" t="str">
        <f t="shared" si="6"/>
        <v/>
      </c>
      <c r="U13" s="10" t="str">
        <f t="shared" si="7"/>
        <v>-</v>
      </c>
      <c r="V13" s="10" t="str">
        <f t="shared" si="6"/>
        <v/>
      </c>
      <c r="W13" t="str">
        <f t="shared" si="8"/>
        <v>Gårslev </v>
      </c>
      <c r="Y13" s="10" t="str">
        <f t="shared" si="9"/>
        <v/>
      </c>
      <c r="Z13" s="10" t="str">
        <f t="shared" si="10"/>
        <v/>
      </c>
    </row>
    <row r="14" spans="2:26" x14ac:dyDescent="0.3">
      <c r="B14" t="str">
        <f>'Teams +Groups'!I4</f>
        <v>Arendal </v>
      </c>
      <c r="C14" cm="1">
        <f t="array" ref="C14">SUM(($S$11:$S$16=Elite_B[[#This Row],[Team]])*(ISNUMBER($T$11:$T$16)),($W$11:$W$16=Elite_B[[#This Row],[Team]])*(ISNUMBER($V$11:$V$16)))</f>
        <v>0</v>
      </c>
      <c r="D14">
        <f>COUNTIF($Y$11:$Y$16,Elite_B[[#This Row],[Team]])</f>
        <v>0</v>
      </c>
      <c r="E14">
        <f>COUNTIF($Z$11:$Z$16,Elite_B[[#This Row],[Team]])</f>
        <v>0</v>
      </c>
      <c r="F14">
        <f>Elite_B[[#This Row],[GP]]-Elite_B[[#This Row],[W]]-Elite_B[[#This Row],[L]]</f>
        <v>0</v>
      </c>
      <c r="G14">
        <f>SUMIF($S$11:$S$16,Elite_B[[#This Row],[Team]],$T$11:$T$16) + SUMIF($W$11:$W$16,Elite_B[[#This Row],[Team]],$V$11:$V$16)</f>
        <v>0</v>
      </c>
      <c r="H14">
        <f>SUMIF($S$11:$S$16,Elite_B[[#This Row],[Team]],$V$11:$V$16) + SUMIF($W$11:$W$16,Elite_B[[#This Row],[Team]],$T$11:$T$16)</f>
        <v>0</v>
      </c>
      <c r="I14">
        <f>Elite_B[[#This Row],[SG]]-Elite_B[[#This Row],[CG]]</f>
        <v>0</v>
      </c>
      <c r="K14">
        <f>3*Elite_B[[#This Row],[W]]+Elite_B[[#This Row],[E]]</f>
        <v>0</v>
      </c>
      <c r="M14" t="str">
        <f>Games!H8</f>
        <v>Arendal </v>
      </c>
      <c r="N14" s="10" t="str">
        <f>Games!I8</f>
        <v xml:space="preserve"> </v>
      </c>
      <c r="O14" s="10" t="str">
        <f>Games!J8</f>
        <v>-</v>
      </c>
      <c r="P14" s="10" t="str">
        <f>Games!K8</f>
        <v xml:space="preserve"> </v>
      </c>
      <c r="Q14" t="str">
        <f>Games!L8</f>
        <v>Gårslev </v>
      </c>
      <c r="S14" t="str">
        <f t="shared" si="5"/>
        <v>Arendal </v>
      </c>
      <c r="T14" s="10" t="str">
        <f t="shared" si="6"/>
        <v/>
      </c>
      <c r="U14" s="10" t="str">
        <f t="shared" si="7"/>
        <v>-</v>
      </c>
      <c r="V14" s="10" t="str">
        <f t="shared" si="6"/>
        <v/>
      </c>
      <c r="W14" t="str">
        <f t="shared" si="8"/>
        <v>Gårslev </v>
      </c>
      <c r="Y14" s="10" t="str">
        <f t="shared" si="9"/>
        <v/>
      </c>
      <c r="Z14" s="10" t="str">
        <f t="shared" si="10"/>
        <v/>
      </c>
    </row>
    <row r="15" spans="2:26" x14ac:dyDescent="0.3">
      <c r="B15" t="str">
        <f>'Teams +Groups'!I5</f>
        <v>Gårslev </v>
      </c>
      <c r="C15" cm="1">
        <f t="array" ref="C15">SUM(($S$11:$S$16=Elite_B[[#This Row],[Team]])*(ISNUMBER($T$11:$T$16)),($W$11:$W$16=Elite_B[[#This Row],[Team]])*(ISNUMBER($V$11:$V$16)))</f>
        <v>0</v>
      </c>
      <c r="D15">
        <f>COUNTIF($Y$11:$Y$16,Elite_B[[#This Row],[Team]])</f>
        <v>0</v>
      </c>
      <c r="E15">
        <f>COUNTIF($Z$11:$Z$16,Elite_B[[#This Row],[Team]])</f>
        <v>0</v>
      </c>
      <c r="F15">
        <f>Elite_B[[#This Row],[GP]]-Elite_B[[#This Row],[W]]-Elite_B[[#This Row],[L]]</f>
        <v>0</v>
      </c>
      <c r="G15">
        <f>SUMIF($S$11:$S$16,Elite_B[[#This Row],[Team]],$T$11:$T$16) + SUMIF($W$11:$W$16,Elite_B[[#This Row],[Team]],$V$11:$V$16)</f>
        <v>0</v>
      </c>
      <c r="H15">
        <f>SUMIF($S$11:$S$16,Elite_B[[#This Row],[Team]],$V$11:$V$16) + SUMIF($W$11:$W$16,Elite_B[[#This Row],[Team]],$T$11:$T$16)</f>
        <v>0</v>
      </c>
      <c r="I15">
        <f>Elite_B[[#This Row],[SG]]-Elite_B[[#This Row],[CG]]</f>
        <v>0</v>
      </c>
      <c r="K15">
        <f>3*Elite_B[[#This Row],[W]]+Elite_B[[#This Row],[E]]</f>
        <v>0</v>
      </c>
      <c r="M15" t="str">
        <f>Games!H9</f>
        <v>Gårslev </v>
      </c>
      <c r="N15" s="10" t="str">
        <f>Games!I9</f>
        <v xml:space="preserve"> </v>
      </c>
      <c r="O15" s="10" t="str">
        <f>Games!J9</f>
        <v>-</v>
      </c>
      <c r="P15" s="10" t="str">
        <f>Games!K9</f>
        <v xml:space="preserve"> </v>
      </c>
      <c r="Q15" t="str">
        <f>Games!L9</f>
        <v>FIFH Malmö 1</v>
      </c>
      <c r="S15" t="str">
        <f t="shared" si="5"/>
        <v>Gårslev </v>
      </c>
      <c r="T15" s="10" t="str">
        <f t="shared" si="6"/>
        <v/>
      </c>
      <c r="U15" s="10" t="str">
        <f t="shared" si="7"/>
        <v>-</v>
      </c>
      <c r="V15" s="10" t="str">
        <f t="shared" si="6"/>
        <v/>
      </c>
      <c r="W15" t="str">
        <f t="shared" si="8"/>
        <v>FIFH Malmö 1</v>
      </c>
      <c r="Y15" s="10" t="str">
        <f t="shared" si="9"/>
        <v/>
      </c>
      <c r="Z15" s="10" t="str">
        <f t="shared" si="10"/>
        <v/>
      </c>
    </row>
    <row r="16" spans="2:26" x14ac:dyDescent="0.3">
      <c r="M16" t="str">
        <f>Games!H10</f>
        <v>FIFH Malmö 1</v>
      </c>
      <c r="N16" s="10" t="str">
        <f>Games!I10</f>
        <v xml:space="preserve"> </v>
      </c>
      <c r="O16" s="10" t="str">
        <f>Games!J10</f>
        <v>-</v>
      </c>
      <c r="P16" s="10" t="str">
        <f>Games!K10</f>
        <v xml:space="preserve"> </v>
      </c>
      <c r="Q16" t="str">
        <f>Games!L10</f>
        <v>Arendal </v>
      </c>
      <c r="S16" t="str">
        <f t="shared" si="5"/>
        <v>FIFH Malmö 1</v>
      </c>
      <c r="T16" s="10" t="str">
        <f t="shared" si="6"/>
        <v/>
      </c>
      <c r="U16" s="10" t="str">
        <f t="shared" si="7"/>
        <v>-</v>
      </c>
      <c r="V16" s="10" t="str">
        <f t="shared" si="6"/>
        <v/>
      </c>
      <c r="W16" t="str">
        <f t="shared" si="8"/>
        <v>Arendal </v>
      </c>
      <c r="Y16" s="10" t="str">
        <f t="shared" si="9"/>
        <v/>
      </c>
      <c r="Z16" s="10" t="str">
        <f t="shared" si="10"/>
        <v/>
      </c>
    </row>
    <row r="17" spans="2:26" x14ac:dyDescent="0.3">
      <c r="S17" t="str">
        <f t="shared" si="5"/>
        <v/>
      </c>
      <c r="T17" s="10" t="str">
        <f t="shared" si="6"/>
        <v/>
      </c>
      <c r="U17" s="10" t="str">
        <f t="shared" si="7"/>
        <v/>
      </c>
      <c r="V17" s="10" t="str">
        <f t="shared" si="6"/>
        <v/>
      </c>
      <c r="W17" t="str">
        <f t="shared" si="8"/>
        <v/>
      </c>
      <c r="Y17" s="10" t="str">
        <f t="shared" si="9"/>
        <v/>
      </c>
      <c r="Z17" s="10" t="str">
        <f t="shared" si="10"/>
        <v/>
      </c>
    </row>
    <row r="18" spans="2:26" x14ac:dyDescent="0.3">
      <c r="B18" s="47" t="s">
        <v>207</v>
      </c>
      <c r="C18" s="47"/>
      <c r="D18" s="47"/>
      <c r="E18" s="47"/>
      <c r="F18" s="47"/>
      <c r="G18" s="47"/>
      <c r="H18" s="47"/>
      <c r="I18" s="47"/>
      <c r="J18" s="47"/>
      <c r="K18" s="47"/>
      <c r="M18" t="str">
        <f>Games!A13</f>
        <v>Grupp A</v>
      </c>
      <c r="S18" t="str">
        <f t="shared" si="5"/>
        <v>Grupp A</v>
      </c>
      <c r="T18" s="10" t="str">
        <f t="shared" si="6"/>
        <v/>
      </c>
      <c r="U18" s="10" t="str">
        <f t="shared" si="7"/>
        <v/>
      </c>
      <c r="V18" s="10" t="str">
        <f t="shared" si="6"/>
        <v/>
      </c>
      <c r="W18" t="str">
        <f t="shared" si="8"/>
        <v/>
      </c>
      <c r="Y18" s="10" t="str">
        <f t="shared" si="9"/>
        <v/>
      </c>
      <c r="Z18" s="10" t="str">
        <f t="shared" si="10"/>
        <v/>
      </c>
    </row>
    <row r="19" spans="2:26" x14ac:dyDescent="0.3">
      <c r="B19" t="s">
        <v>196</v>
      </c>
      <c r="C19" t="s">
        <v>197</v>
      </c>
      <c r="D19" t="s">
        <v>198</v>
      </c>
      <c r="E19" t="s">
        <v>199</v>
      </c>
      <c r="F19" t="s">
        <v>200</v>
      </c>
      <c r="G19" t="s">
        <v>201</v>
      </c>
      <c r="H19" t="s">
        <v>202</v>
      </c>
      <c r="I19" t="s">
        <v>203</v>
      </c>
      <c r="J19" t="s">
        <v>204</v>
      </c>
      <c r="K19" t="s">
        <v>205</v>
      </c>
      <c r="M19" t="str">
        <f>Games!B14</f>
        <v>Aabenraa 2 </v>
      </c>
      <c r="N19" s="10" t="str">
        <f>Games!C14</f>
        <v xml:space="preserve"> </v>
      </c>
      <c r="O19" s="10" t="str">
        <f>Games!D14</f>
        <v>-</v>
      </c>
      <c r="P19" s="10" t="str">
        <f>Games!E14</f>
        <v xml:space="preserve"> </v>
      </c>
      <c r="Q19" t="str">
        <f>Games!F14</f>
        <v>IFAH 2</v>
      </c>
      <c r="S19" t="str">
        <f t="shared" si="5"/>
        <v>Aabenraa 2 </v>
      </c>
      <c r="T19" s="10" t="str">
        <f t="shared" si="6"/>
        <v/>
      </c>
      <c r="U19" s="10" t="str">
        <f t="shared" si="7"/>
        <v>-</v>
      </c>
      <c r="V19" s="10" t="str">
        <f t="shared" si="6"/>
        <v/>
      </c>
      <c r="W19" t="str">
        <f t="shared" si="8"/>
        <v>IFAH 2</v>
      </c>
      <c r="Y19" s="10" t="str">
        <f t="shared" si="9"/>
        <v/>
      </c>
      <c r="Z19" s="10" t="str">
        <f t="shared" si="10"/>
        <v/>
      </c>
    </row>
    <row r="20" spans="2:26" x14ac:dyDescent="0.3">
      <c r="B20" t="str">
        <f>'Teams +Groups'!H12</f>
        <v>Aabenraa 2 </v>
      </c>
      <c r="C20" cm="1">
        <f t="array" ref="C20">SUM(($S$19:$S$24=Major_A[[#This Row],[Team]])*(ISNUMBER($T$19:$T$24)),($W$19:$W$24=Major_A[[#This Row],[Team]])*(ISNUMBER($V$19:$V$24)))</f>
        <v>0</v>
      </c>
      <c r="D20">
        <f>COUNTIF($Y$19:$Y$24,Major_A[[#This Row],[Team]])</f>
        <v>0</v>
      </c>
      <c r="E20">
        <f>COUNTIF($Z$19:$Z$24,Major_A[[#This Row],[Team]])</f>
        <v>0</v>
      </c>
      <c r="F20">
        <f>Major_A[[#This Row],[GP]]-Major_A[[#This Row],[W]]-Major_A[[#This Row],[L]]</f>
        <v>0</v>
      </c>
      <c r="G20">
        <f>SUMIF($S$19:$S$24,Major_A[[#This Row],[Team]],$T$19:$T$24) + SUMIF($W$19:$W$24,Major_A[[#This Row],[Team]],$V$19:$V$24)</f>
        <v>0</v>
      </c>
      <c r="H20">
        <f>SUMIF($S$19:$S$24,Major_A[[#This Row],[Team]],$V$19:$V$24) + SUMIF($W$19:$W$24,Major_A[[#This Row],[Team]],$T$19:$T$24)</f>
        <v>0</v>
      </c>
      <c r="I20">
        <f>Major_A[[#This Row],[SG]]-Major_A[[#This Row],[CG]]</f>
        <v>0</v>
      </c>
      <c r="K20">
        <f>3*Major_A[[#This Row],[W]]+Major_A[[#This Row],[E]]</f>
        <v>0</v>
      </c>
      <c r="M20" t="str">
        <f>Games!B15</f>
        <v>Aabenraa 2 </v>
      </c>
      <c r="N20" s="10" t="str">
        <f>Games!C15</f>
        <v xml:space="preserve"> </v>
      </c>
      <c r="O20" s="10" t="str">
        <f>Games!D15</f>
        <v>-</v>
      </c>
      <c r="P20" s="10" t="str">
        <f>Games!E15</f>
        <v xml:space="preserve"> </v>
      </c>
      <c r="Q20" t="str">
        <f>Games!F15</f>
        <v>Lilleström </v>
      </c>
      <c r="S20" t="str">
        <f t="shared" si="5"/>
        <v>Aabenraa 2 </v>
      </c>
      <c r="T20" s="10" t="str">
        <f t="shared" si="6"/>
        <v/>
      </c>
      <c r="U20" s="10" t="str">
        <f t="shared" si="7"/>
        <v>-</v>
      </c>
      <c r="V20" s="10" t="str">
        <f t="shared" si="6"/>
        <v/>
      </c>
      <c r="W20" t="str">
        <f t="shared" si="8"/>
        <v>Lilleström </v>
      </c>
      <c r="Y20" s="10" t="str">
        <f t="shared" si="9"/>
        <v/>
      </c>
      <c r="Z20" s="10" t="str">
        <f t="shared" si="10"/>
        <v/>
      </c>
    </row>
    <row r="21" spans="2:26" x14ac:dyDescent="0.3">
      <c r="B21" t="str">
        <f>'Teams +Groups'!H13</f>
        <v>IFAH 2</v>
      </c>
      <c r="C21" cm="1">
        <f t="array" ref="C21">SUM(($S$19:$S$24=Major_A[[#This Row],[Team]])*(ISNUMBER($T$19:$T$24)),($W$19:$W$24=Major_A[[#This Row],[Team]])*(ISNUMBER($V$19:$V$24)))</f>
        <v>0</v>
      </c>
      <c r="D21">
        <f>COUNTIF($Y$19:$Y$24,Major_A[[#This Row],[Team]])</f>
        <v>0</v>
      </c>
      <c r="E21">
        <f>COUNTIF($Z$19:$Z$24,Major_A[[#This Row],[Team]])</f>
        <v>0</v>
      </c>
      <c r="F21">
        <f>Major_A[[#This Row],[GP]]-Major_A[[#This Row],[W]]-Major_A[[#This Row],[L]]</f>
        <v>0</v>
      </c>
      <c r="G21">
        <f>SUMIF($S$19:$S$24,Major_A[[#This Row],[Team]],$T$19:$T$24) + SUMIF($W$19:$W$24,Major_A[[#This Row],[Team]],$V$19:$V$24)</f>
        <v>0</v>
      </c>
      <c r="H21">
        <f>SUMIF($S$19:$S$24,Major_A[[#This Row],[Team]],$V$19:$V$24) + SUMIF($W$19:$W$24,Major_A[[#This Row],[Team]],$T$19:$T$24)</f>
        <v>0</v>
      </c>
      <c r="I21">
        <f>Major_A[[#This Row],[SG]]-Major_A[[#This Row],[CG]]</f>
        <v>0</v>
      </c>
      <c r="K21">
        <f>3*Major_A[[#This Row],[W]]+Major_A[[#This Row],[E]]</f>
        <v>0</v>
      </c>
      <c r="M21" t="str">
        <f>Games!B16</f>
        <v>Aabenraa 2 </v>
      </c>
      <c r="N21" s="10" t="str">
        <f>Games!C16</f>
        <v xml:space="preserve"> </v>
      </c>
      <c r="O21" s="10" t="str">
        <f>Games!D16</f>
        <v>-</v>
      </c>
      <c r="P21" s="10" t="str">
        <f>Games!E16</f>
        <v xml:space="preserve"> </v>
      </c>
      <c r="Q21" t="str">
        <f>Games!F16</f>
        <v>Norrköping Rhinos </v>
      </c>
      <c r="S21" t="str">
        <f t="shared" si="5"/>
        <v>Aabenraa 2 </v>
      </c>
      <c r="T21" s="10" t="str">
        <f t="shared" si="6"/>
        <v/>
      </c>
      <c r="U21" s="10" t="str">
        <f t="shared" si="7"/>
        <v>-</v>
      </c>
      <c r="V21" s="10" t="str">
        <f t="shared" si="6"/>
        <v/>
      </c>
      <c r="W21" t="str">
        <f t="shared" si="8"/>
        <v>Norrköping Rhinos </v>
      </c>
      <c r="Y21" s="10" t="str">
        <f t="shared" si="9"/>
        <v/>
      </c>
      <c r="Z21" s="10" t="str">
        <f t="shared" si="10"/>
        <v/>
      </c>
    </row>
    <row r="22" spans="2:26" x14ac:dyDescent="0.3">
      <c r="B22" t="str">
        <f>'Teams +Groups'!H14</f>
        <v>Lilleström </v>
      </c>
      <c r="C22" cm="1">
        <f t="array" ref="C22">SUM(($S$19:$S$24=Major_A[[#This Row],[Team]])*(ISNUMBER($T$19:$T$24)),($W$19:$W$24=Major_A[[#This Row],[Team]])*(ISNUMBER($V$19:$V$24)))</f>
        <v>0</v>
      </c>
      <c r="D22">
        <f>COUNTIF($Y$19:$Y$24,Major_A[[#This Row],[Team]])</f>
        <v>0</v>
      </c>
      <c r="E22">
        <f>COUNTIF($Z$19:$Z$24,Major_A[[#This Row],[Team]])</f>
        <v>0</v>
      </c>
      <c r="F22">
        <f>Major_A[[#This Row],[GP]]-Major_A[[#This Row],[W]]-Major_A[[#This Row],[L]]</f>
        <v>0</v>
      </c>
      <c r="G22">
        <f>SUMIF($S$19:$S$24,Major_A[[#This Row],[Team]],$T$19:$T$24) + SUMIF($W$19:$W$24,Major_A[[#This Row],[Team]],$V$19:$V$24)</f>
        <v>0</v>
      </c>
      <c r="H22">
        <f>SUMIF($S$19:$S$24,Major_A[[#This Row],[Team]],$V$19:$V$24) + SUMIF($W$19:$W$24,Major_A[[#This Row],[Team]],$T$19:$T$24)</f>
        <v>0</v>
      </c>
      <c r="I22">
        <f>Major_A[[#This Row],[SG]]-Major_A[[#This Row],[CG]]</f>
        <v>0</v>
      </c>
      <c r="K22">
        <f>3*Major_A[[#This Row],[W]]+Major_A[[#This Row],[E]]</f>
        <v>0</v>
      </c>
      <c r="M22" t="str">
        <f>Games!H14</f>
        <v>Lilleström </v>
      </c>
      <c r="N22" s="10" t="str">
        <f>Games!I14</f>
        <v xml:space="preserve"> </v>
      </c>
      <c r="O22" s="10" t="str">
        <f>Games!J14</f>
        <v>-</v>
      </c>
      <c r="P22" s="10" t="str">
        <f>Games!K14</f>
        <v xml:space="preserve"> </v>
      </c>
      <c r="Q22" t="str">
        <f>Games!L14</f>
        <v>Norrköping Rhinos </v>
      </c>
      <c r="S22" t="str">
        <f t="shared" si="5"/>
        <v>Lilleström </v>
      </c>
      <c r="T22" s="10" t="str">
        <f t="shared" si="6"/>
        <v/>
      </c>
      <c r="U22" s="10" t="str">
        <f t="shared" si="7"/>
        <v>-</v>
      </c>
      <c r="V22" s="10" t="str">
        <f t="shared" si="6"/>
        <v/>
      </c>
      <c r="W22" t="str">
        <f t="shared" si="8"/>
        <v>Norrköping Rhinos </v>
      </c>
      <c r="Y22" s="10" t="str">
        <f t="shared" si="9"/>
        <v/>
      </c>
      <c r="Z22" s="10" t="str">
        <f t="shared" si="10"/>
        <v/>
      </c>
    </row>
    <row r="23" spans="2:26" x14ac:dyDescent="0.3">
      <c r="B23" t="str">
        <f>'Teams +Groups'!H15</f>
        <v>Norrköping Rhinos </v>
      </c>
      <c r="C23" cm="1">
        <f t="array" ref="C23">SUM(($S$19:$S$24=Major_A[[#This Row],[Team]])*(ISNUMBER($T$19:$T$24)),($W$19:$W$24=Major_A[[#This Row],[Team]])*(ISNUMBER($V$19:$V$24)))</f>
        <v>0</v>
      </c>
      <c r="D23">
        <f>COUNTIF($Y$19:$Y$24,Major_A[[#This Row],[Team]])</f>
        <v>0</v>
      </c>
      <c r="E23">
        <f>COUNTIF($Z$19:$Z$24,Major_A[[#This Row],[Team]])</f>
        <v>0</v>
      </c>
      <c r="F23">
        <f>Major_A[[#This Row],[GP]]-Major_A[[#This Row],[W]]-Major_A[[#This Row],[L]]</f>
        <v>0</v>
      </c>
      <c r="G23">
        <f>SUMIF($S$19:$S$24,Major_A[[#This Row],[Team]],$T$19:$T$24) + SUMIF($W$19:$W$24,Major_A[[#This Row],[Team]],$V$19:$V$24)</f>
        <v>0</v>
      </c>
      <c r="H23">
        <f>SUMIF($S$19:$S$24,Major_A[[#This Row],[Team]],$V$19:$V$24) + SUMIF($W$19:$W$24,Major_A[[#This Row],[Team]],$T$19:$T$24)</f>
        <v>0</v>
      </c>
      <c r="I23">
        <f>Major_A[[#This Row],[SG]]-Major_A[[#This Row],[CG]]</f>
        <v>0</v>
      </c>
      <c r="K23">
        <f>3*Major_A[[#This Row],[W]]+Major_A[[#This Row],[E]]</f>
        <v>0</v>
      </c>
      <c r="M23" t="str">
        <f>Games!H15</f>
        <v>Norrköping Rhinos </v>
      </c>
      <c r="N23" s="10" t="str">
        <f>Games!I15</f>
        <v xml:space="preserve"> </v>
      </c>
      <c r="O23" s="10" t="str">
        <f>Games!J15</f>
        <v>-</v>
      </c>
      <c r="P23" s="10" t="str">
        <f>Games!K15</f>
        <v xml:space="preserve"> </v>
      </c>
      <c r="Q23" t="str">
        <f>Games!L15</f>
        <v>IFAH 2</v>
      </c>
      <c r="S23" t="str">
        <f t="shared" si="5"/>
        <v>Norrköping Rhinos </v>
      </c>
      <c r="T23" s="10" t="str">
        <f t="shared" si="6"/>
        <v/>
      </c>
      <c r="U23" s="10" t="str">
        <f t="shared" si="7"/>
        <v>-</v>
      </c>
      <c r="V23" s="10" t="str">
        <f t="shared" si="6"/>
        <v/>
      </c>
      <c r="W23" t="str">
        <f t="shared" si="8"/>
        <v>IFAH 2</v>
      </c>
      <c r="Y23" s="10" t="str">
        <f t="shared" si="9"/>
        <v/>
      </c>
      <c r="Z23" s="10" t="str">
        <f t="shared" si="10"/>
        <v/>
      </c>
    </row>
    <row r="24" spans="2:26" x14ac:dyDescent="0.3">
      <c r="M24" t="str">
        <f>Games!H16</f>
        <v>IFAH 2</v>
      </c>
      <c r="N24" s="10" t="str">
        <f>Games!I16</f>
        <v xml:space="preserve"> </v>
      </c>
      <c r="O24" s="10" t="str">
        <f>Games!J16</f>
        <v>-</v>
      </c>
      <c r="P24" s="10" t="str">
        <f>Games!K16</f>
        <v xml:space="preserve"> </v>
      </c>
      <c r="Q24" t="str">
        <f>Games!L16</f>
        <v>Lilleström </v>
      </c>
      <c r="S24" t="str">
        <f t="shared" si="5"/>
        <v>IFAH 2</v>
      </c>
      <c r="T24" s="10" t="str">
        <f t="shared" si="6"/>
        <v/>
      </c>
      <c r="U24" s="10" t="str">
        <f t="shared" si="7"/>
        <v>-</v>
      </c>
      <c r="V24" s="10" t="str">
        <f t="shared" si="6"/>
        <v/>
      </c>
      <c r="W24" t="str">
        <f t="shared" si="8"/>
        <v>Lilleström </v>
      </c>
      <c r="Y24" s="10" t="str">
        <f t="shared" si="9"/>
        <v/>
      </c>
      <c r="Z24" s="10" t="str">
        <f t="shared" si="10"/>
        <v/>
      </c>
    </row>
    <row r="25" spans="2:26" x14ac:dyDescent="0.3">
      <c r="S25" t="str">
        <f t="shared" si="5"/>
        <v/>
      </c>
      <c r="T25" s="10" t="str">
        <f t="shared" si="6"/>
        <v/>
      </c>
      <c r="U25" s="10" t="str">
        <f t="shared" si="7"/>
        <v/>
      </c>
      <c r="V25" s="10" t="str">
        <f t="shared" si="6"/>
        <v/>
      </c>
      <c r="W25" t="str">
        <f t="shared" si="8"/>
        <v/>
      </c>
      <c r="Y25" s="10" t="str">
        <f t="shared" si="9"/>
        <v/>
      </c>
      <c r="Z25" s="10" t="str">
        <f t="shared" si="10"/>
        <v/>
      </c>
    </row>
    <row r="26" spans="2:26" x14ac:dyDescent="0.3">
      <c r="B26" s="6" t="s">
        <v>208</v>
      </c>
      <c r="C26" s="6"/>
      <c r="D26" s="6"/>
      <c r="E26" s="6"/>
      <c r="F26" s="6"/>
      <c r="G26" s="6"/>
      <c r="H26" s="6"/>
      <c r="I26" s="6"/>
      <c r="J26" s="6"/>
      <c r="K26" s="6"/>
      <c r="M26" t="str">
        <f>Games!A18</f>
        <v>Grupp B</v>
      </c>
      <c r="S26" t="str">
        <f t="shared" si="5"/>
        <v>Grupp B</v>
      </c>
      <c r="T26" s="10" t="str">
        <f t="shared" si="6"/>
        <v/>
      </c>
      <c r="U26" s="10" t="str">
        <f t="shared" si="7"/>
        <v/>
      </c>
      <c r="V26" s="10" t="str">
        <f t="shared" si="6"/>
        <v/>
      </c>
      <c r="W26" t="str">
        <f t="shared" si="8"/>
        <v/>
      </c>
      <c r="Y26" s="10" t="str">
        <f t="shared" si="9"/>
        <v/>
      </c>
      <c r="Z26" s="10" t="str">
        <f t="shared" si="10"/>
        <v/>
      </c>
    </row>
    <row r="27" spans="2:26" x14ac:dyDescent="0.3">
      <c r="B27" t="s">
        <v>196</v>
      </c>
      <c r="C27" t="s">
        <v>197</v>
      </c>
      <c r="D27" t="s">
        <v>198</v>
      </c>
      <c r="E27" t="s">
        <v>199</v>
      </c>
      <c r="F27" t="s">
        <v>200</v>
      </c>
      <c r="G27" t="s">
        <v>201</v>
      </c>
      <c r="H27" t="s">
        <v>202</v>
      </c>
      <c r="I27" t="s">
        <v>203</v>
      </c>
      <c r="J27" t="s">
        <v>204</v>
      </c>
      <c r="K27" t="s">
        <v>205</v>
      </c>
      <c r="M27" t="str">
        <f>Games!B19</f>
        <v>Gårslev 2 </v>
      </c>
      <c r="N27" s="10" t="str">
        <f>Games!C19</f>
        <v xml:space="preserve"> </v>
      </c>
      <c r="O27" s="10" t="str">
        <f>Games!D19</f>
        <v>-</v>
      </c>
      <c r="P27" s="10" t="str">
        <f>Games!E19</f>
        <v xml:space="preserve"> </v>
      </c>
      <c r="Q27" t="str">
        <f>Games!F19</f>
        <v>FIFH Malmö 2 </v>
      </c>
      <c r="S27" t="str">
        <f t="shared" si="5"/>
        <v>Gårslev 2 </v>
      </c>
      <c r="T27" s="10" t="str">
        <f t="shared" si="6"/>
        <v/>
      </c>
      <c r="U27" s="10" t="str">
        <f t="shared" si="7"/>
        <v>-</v>
      </c>
      <c r="V27" s="10" t="str">
        <f t="shared" si="6"/>
        <v/>
      </c>
      <c r="W27" t="str">
        <f t="shared" si="8"/>
        <v>FIFH Malmö 2 </v>
      </c>
      <c r="Y27" s="10" t="str">
        <f t="shared" si="9"/>
        <v/>
      </c>
      <c r="Z27" s="10" t="str">
        <f t="shared" si="10"/>
        <v/>
      </c>
    </row>
    <row r="28" spans="2:26" x14ac:dyDescent="0.3">
      <c r="B28" t="str">
        <f>'Teams +Groups'!I12</f>
        <v>Gårslev 2 </v>
      </c>
      <c r="C28" cm="1">
        <f t="array" ref="C28">SUM(($S$27:$S$32=Major_B[[#This Row],[Team]])*(ISNUMBER($T$27:$T$32)),($W$27:$W$32=Major_B[[#This Row],[Team]])*(ISNUMBER($V$27:$V$32)))</f>
        <v>1</v>
      </c>
      <c r="D28">
        <f>COUNTIF($Y$27:$Y$32,Major_B[[#This Row],[Team]])</f>
        <v>0</v>
      </c>
      <c r="E28">
        <f>COUNTIF($Z$27:$Z$32,Major_B[[#This Row],[Team]])</f>
        <v>0</v>
      </c>
      <c r="F28">
        <f>Major_B[[#This Row],[GP]]-Major_B[[#This Row],[W]]-Major_B[[#This Row],[L]]</f>
        <v>1</v>
      </c>
      <c r="G28">
        <f>SUMIF($S$27:$S$32,Major_B[[#This Row],[Team]],$T$27:$T$32) + SUMIF($W$27:$W$32,Major_B[[#This Row],[Team]],$V$27:$V$32)</f>
        <v>0</v>
      </c>
      <c r="H28">
        <f>SUMIF($S$27:$S$32,Major_B[[#This Row],[Team]],$V$27:$V$32) + SUMIF($W$27:$W$32,Major_B[[#This Row],[Team]],$T$27:$T$32)</f>
        <v>0</v>
      </c>
      <c r="I28">
        <f>Major_B[[#This Row],[SG]]-Major_B[[#This Row],[CG]]</f>
        <v>0</v>
      </c>
      <c r="K28">
        <f>3*Major_B[[#This Row],[W]]+Major_B[[#This Row],[E]]</f>
        <v>1</v>
      </c>
      <c r="M28" t="str">
        <f>Games!B20</f>
        <v>Gårslev 2 </v>
      </c>
      <c r="N28" s="10">
        <f>Games!C20</f>
        <v>0</v>
      </c>
      <c r="O28" s="10" t="str">
        <f>Games!D20</f>
        <v>-</v>
      </c>
      <c r="P28" s="10" t="str">
        <f>Games!E20</f>
        <v xml:space="preserve"> </v>
      </c>
      <c r="Q28" t="str">
        <f>Games!F20</f>
        <v>KF Heros 2</v>
      </c>
      <c r="S28" t="str">
        <f t="shared" si="5"/>
        <v>Gårslev 2 </v>
      </c>
      <c r="T28" s="10">
        <f t="shared" si="6"/>
        <v>0</v>
      </c>
      <c r="U28" s="10" t="str">
        <f t="shared" si="7"/>
        <v>-</v>
      </c>
      <c r="V28" s="10" t="str">
        <f t="shared" si="6"/>
        <v/>
      </c>
      <c r="W28" t="str">
        <f t="shared" si="8"/>
        <v>KF Heros 2</v>
      </c>
      <c r="Y28" s="10" t="str">
        <f t="shared" si="9"/>
        <v/>
      </c>
      <c r="Z28" s="10" t="str">
        <f t="shared" si="10"/>
        <v/>
      </c>
    </row>
    <row r="29" spans="2:26" x14ac:dyDescent="0.3">
      <c r="B29" t="str">
        <f>'Teams +Groups'!I13</f>
        <v>FIFH Malmö 2 </v>
      </c>
      <c r="C29" cm="1">
        <f t="array" ref="C29">SUM(($S$27:$S$32=Major_B[[#This Row],[Team]])*(ISNUMBER($T$27:$T$32)),($W$27:$W$32=Major_B[[#This Row],[Team]])*(ISNUMBER($V$27:$V$32)))</f>
        <v>0</v>
      </c>
      <c r="D29">
        <f>COUNTIF($Y$27:$Y$32,Major_B[[#This Row],[Team]])</f>
        <v>0</v>
      </c>
      <c r="E29">
        <f>COUNTIF($Z$27:$Z$32,Major_B[[#This Row],[Team]])</f>
        <v>0</v>
      </c>
      <c r="F29">
        <f>Major_B[[#This Row],[GP]]-Major_B[[#This Row],[W]]-Major_B[[#This Row],[L]]</f>
        <v>0</v>
      </c>
      <c r="G29">
        <f>SUMIF($S$27:$S$32,Major_B[[#This Row],[Team]],$T$27:$T$32) + SUMIF($W$27:$W$32,Major_B[[#This Row],[Team]],$V$27:$V$32)</f>
        <v>0</v>
      </c>
      <c r="H29">
        <f>SUMIF($S$27:$S$32,Major_B[[#This Row],[Team]],$V$27:$V$32) + SUMIF($W$27:$W$32,Major_B[[#This Row],[Team]],$T$27:$T$32)</f>
        <v>0</v>
      </c>
      <c r="I29">
        <f>Major_B[[#This Row],[SG]]-Major_B[[#This Row],[CG]]</f>
        <v>0</v>
      </c>
      <c r="K29">
        <f>3*Major_B[[#This Row],[W]]+Major_B[[#This Row],[E]]</f>
        <v>0</v>
      </c>
      <c r="M29" t="str">
        <f>Games!B21</f>
        <v>Gårslev 2 </v>
      </c>
      <c r="N29" s="10" t="str">
        <f>Games!C21</f>
        <v xml:space="preserve"> </v>
      </c>
      <c r="O29" s="10" t="str">
        <f>Games!D21</f>
        <v>-</v>
      </c>
      <c r="P29" s="10" t="str">
        <f>Games!E21</f>
        <v xml:space="preserve"> </v>
      </c>
      <c r="Q29" t="str">
        <f>Games!F21</f>
        <v>Umeå Wolfs</v>
      </c>
      <c r="S29" t="str">
        <f t="shared" si="5"/>
        <v>Gårslev 2 </v>
      </c>
      <c r="T29" s="10" t="str">
        <f t="shared" si="6"/>
        <v/>
      </c>
      <c r="U29" s="10" t="str">
        <f t="shared" si="7"/>
        <v>-</v>
      </c>
      <c r="V29" s="10" t="str">
        <f t="shared" si="6"/>
        <v/>
      </c>
      <c r="W29" t="str">
        <f t="shared" si="8"/>
        <v>Umeå Wolfs</v>
      </c>
      <c r="Y29" s="10" t="str">
        <f t="shared" si="9"/>
        <v/>
      </c>
      <c r="Z29" s="10" t="str">
        <f t="shared" si="10"/>
        <v/>
      </c>
    </row>
    <row r="30" spans="2:26" x14ac:dyDescent="0.3">
      <c r="B30" t="str">
        <f>'Teams +Groups'!I14</f>
        <v>KF Heros 2</v>
      </c>
      <c r="C30" cm="1">
        <f t="array" ref="C30">SUM(($S$27:$S$32=Major_B[[#This Row],[Team]])*(ISNUMBER($T$27:$T$32)),($W$27:$W$32=Major_B[[#This Row],[Team]])*(ISNUMBER($V$27:$V$32)))</f>
        <v>0</v>
      </c>
      <c r="D30">
        <f>COUNTIF($Y$27:$Y$32,Major_B[[#This Row],[Team]])</f>
        <v>0</v>
      </c>
      <c r="E30">
        <f>COUNTIF($Z$27:$Z$32,Major_B[[#This Row],[Team]])</f>
        <v>0</v>
      </c>
      <c r="F30">
        <f>Major_B[[#This Row],[GP]]-Major_B[[#This Row],[W]]-Major_B[[#This Row],[L]]</f>
        <v>0</v>
      </c>
      <c r="G30">
        <f>SUMIF($S$27:$S$32,Major_B[[#This Row],[Team]],$T$27:$T$32) + SUMIF($W$27:$W$32,Major_B[[#This Row],[Team]],$V$27:$V$32)</f>
        <v>0</v>
      </c>
      <c r="H30">
        <f>SUMIF($S$27:$S$32,Major_B[[#This Row],[Team]],$V$27:$V$32) + SUMIF($W$27:$W$32,Major_B[[#This Row],[Team]],$T$27:$T$32)</f>
        <v>0</v>
      </c>
      <c r="I30">
        <f>Major_B[[#This Row],[SG]]-Major_B[[#This Row],[CG]]</f>
        <v>0</v>
      </c>
      <c r="K30">
        <f>3*Major_B[[#This Row],[W]]+Major_B[[#This Row],[E]]</f>
        <v>0</v>
      </c>
      <c r="M30" t="str">
        <f>Games!H19</f>
        <v>KF Heros 2</v>
      </c>
      <c r="N30" s="10" t="str">
        <f>Games!I19</f>
        <v xml:space="preserve"> </v>
      </c>
      <c r="O30" s="10" t="str">
        <f>Games!J19</f>
        <v>-</v>
      </c>
      <c r="P30" s="10" t="str">
        <f>Games!K19</f>
        <v xml:space="preserve"> </v>
      </c>
      <c r="Q30" t="str">
        <f>Games!L19</f>
        <v>Umeå Wolfs</v>
      </c>
      <c r="S30" t="str">
        <f t="shared" si="5"/>
        <v>KF Heros 2</v>
      </c>
      <c r="T30" s="10" t="str">
        <f t="shared" si="6"/>
        <v/>
      </c>
      <c r="U30" s="10" t="str">
        <f t="shared" si="7"/>
        <v>-</v>
      </c>
      <c r="V30" s="10" t="str">
        <f t="shared" si="6"/>
        <v/>
      </c>
      <c r="W30" t="str">
        <f t="shared" si="8"/>
        <v>Umeå Wolfs</v>
      </c>
      <c r="Y30" s="10" t="str">
        <f t="shared" si="9"/>
        <v/>
      </c>
      <c r="Z30" s="10" t="str">
        <f t="shared" si="10"/>
        <v/>
      </c>
    </row>
    <row r="31" spans="2:26" x14ac:dyDescent="0.3">
      <c r="B31" t="str">
        <f>'Teams +Groups'!I15</f>
        <v>Umeå Wolfs</v>
      </c>
      <c r="C31" cm="1">
        <f t="array" ref="C31">SUM(($S$27:$S$32=Major_B[[#This Row],[Team]])*(ISNUMBER($T$27:$T$32)),($W$27:$W$32=Major_B[[#This Row],[Team]])*(ISNUMBER($V$27:$V$32)))</f>
        <v>0</v>
      </c>
      <c r="D31">
        <f>COUNTIF($Y$27:$Y$32,Major_B[[#This Row],[Team]])</f>
        <v>0</v>
      </c>
      <c r="E31">
        <f>COUNTIF($Z$27:$Z$32,Major_B[[#This Row],[Team]])</f>
        <v>0</v>
      </c>
      <c r="F31">
        <f>Major_B[[#This Row],[GP]]-Major_B[[#This Row],[W]]-Major_B[[#This Row],[L]]</f>
        <v>0</v>
      </c>
      <c r="G31">
        <f>SUMIF($S$27:$S$32,Major_B[[#This Row],[Team]],$T$27:$T$32) + SUMIF($W$27:$W$32,Major_B[[#This Row],[Team]],$V$27:$V$32)</f>
        <v>0</v>
      </c>
      <c r="H31">
        <f>SUMIF($S$27:$S$32,Major_B[[#This Row],[Team]],$V$27:$V$32) + SUMIF($W$27:$W$32,Major_B[[#This Row],[Team]],$T$27:$T$32)</f>
        <v>0</v>
      </c>
      <c r="I31">
        <f>Major_B[[#This Row],[SG]]-Major_B[[#This Row],[CG]]</f>
        <v>0</v>
      </c>
      <c r="K31">
        <f>3*Major_B[[#This Row],[W]]+Major_B[[#This Row],[E]]</f>
        <v>0</v>
      </c>
      <c r="M31" t="str">
        <f>Games!H20</f>
        <v>Umeå Wolfs</v>
      </c>
      <c r="N31" s="10" t="str">
        <f>Games!I20</f>
        <v xml:space="preserve"> </v>
      </c>
      <c r="O31" s="10" t="str">
        <f>Games!J20</f>
        <v>-</v>
      </c>
      <c r="P31" s="10" t="str">
        <f>Games!K20</f>
        <v xml:space="preserve"> </v>
      </c>
      <c r="Q31" t="str">
        <f>Games!L20</f>
        <v>FIFH Malmö 2 </v>
      </c>
      <c r="S31" t="str">
        <f t="shared" si="5"/>
        <v>Umeå Wolfs</v>
      </c>
      <c r="T31" s="10" t="str">
        <f t="shared" si="6"/>
        <v/>
      </c>
      <c r="U31" s="10" t="str">
        <f t="shared" si="7"/>
        <v>-</v>
      </c>
      <c r="V31" s="10" t="str">
        <f t="shared" si="6"/>
        <v/>
      </c>
      <c r="W31" t="str">
        <f t="shared" si="8"/>
        <v>FIFH Malmö 2 </v>
      </c>
      <c r="Y31" s="10" t="str">
        <f t="shared" si="9"/>
        <v/>
      </c>
      <c r="Z31" s="10" t="str">
        <f t="shared" si="10"/>
        <v/>
      </c>
    </row>
    <row r="32" spans="2:26" x14ac:dyDescent="0.3">
      <c r="M32" t="str">
        <f>Games!H21</f>
        <v>FIFH Malmö 2 </v>
      </c>
      <c r="N32" s="10" t="str">
        <f>Games!I21</f>
        <v xml:space="preserve"> </v>
      </c>
      <c r="O32" s="10" t="str">
        <f>Games!J21</f>
        <v>-</v>
      </c>
      <c r="P32" s="10" t="str">
        <f>Games!K21</f>
        <v xml:space="preserve"> </v>
      </c>
      <c r="Q32" t="str">
        <f>Games!L21</f>
        <v>KF Heros 2</v>
      </c>
      <c r="S32" t="str">
        <f t="shared" si="5"/>
        <v>FIFH Malmö 2 </v>
      </c>
      <c r="T32" s="10" t="str">
        <f t="shared" si="6"/>
        <v/>
      </c>
      <c r="U32" s="10" t="str">
        <f t="shared" si="7"/>
        <v>-</v>
      </c>
      <c r="V32" s="10" t="str">
        <f t="shared" si="6"/>
        <v/>
      </c>
      <c r="W32" t="str">
        <f t="shared" si="8"/>
        <v>KF Heros 2</v>
      </c>
      <c r="Y32" s="10" t="str">
        <f t="shared" si="9"/>
        <v/>
      </c>
      <c r="Z32" s="10" t="str">
        <f t="shared" si="10"/>
        <v/>
      </c>
    </row>
    <row r="33" spans="2:26" x14ac:dyDescent="0.3">
      <c r="S33" t="str">
        <f t="shared" si="5"/>
        <v/>
      </c>
      <c r="T33" s="10" t="str">
        <f t="shared" si="6"/>
        <v/>
      </c>
      <c r="U33" s="10" t="str">
        <f t="shared" si="7"/>
        <v/>
      </c>
      <c r="V33" s="10" t="str">
        <f t="shared" si="6"/>
        <v/>
      </c>
      <c r="W33" t="str">
        <f t="shared" si="8"/>
        <v/>
      </c>
      <c r="Y33" s="10" t="str">
        <f t="shared" si="9"/>
        <v/>
      </c>
      <c r="Z33" s="10" t="str">
        <f t="shared" si="10"/>
        <v/>
      </c>
    </row>
    <row r="34" spans="2:26" x14ac:dyDescent="0.3">
      <c r="B34" s="49" t="s">
        <v>209</v>
      </c>
      <c r="C34" s="49"/>
      <c r="D34" s="49"/>
      <c r="E34" s="49"/>
      <c r="F34" s="49"/>
      <c r="G34" s="49"/>
      <c r="H34" s="49"/>
      <c r="I34" s="49"/>
      <c r="J34" s="49"/>
      <c r="K34" s="49"/>
      <c r="M34" t="str">
        <f>Games!A24</f>
        <v>Grupp A</v>
      </c>
      <c r="S34" t="str">
        <f t="shared" si="5"/>
        <v>Grupp A</v>
      </c>
      <c r="T34" s="10" t="str">
        <f t="shared" si="6"/>
        <v/>
      </c>
      <c r="U34" s="10" t="str">
        <f t="shared" si="7"/>
        <v/>
      </c>
      <c r="V34" s="10" t="str">
        <f t="shared" si="6"/>
        <v/>
      </c>
      <c r="W34" t="str">
        <f t="shared" si="8"/>
        <v/>
      </c>
      <c r="Y34" s="10" t="str">
        <f t="shared" si="9"/>
        <v/>
      </c>
      <c r="Z34" s="10" t="str">
        <f t="shared" si="10"/>
        <v/>
      </c>
    </row>
    <row r="35" spans="2:26" x14ac:dyDescent="0.3">
      <c r="B35" t="s">
        <v>196</v>
      </c>
      <c r="C35" t="s">
        <v>197</v>
      </c>
      <c r="D35" t="s">
        <v>198</v>
      </c>
      <c r="E35" t="s">
        <v>199</v>
      </c>
      <c r="F35" t="s">
        <v>200</v>
      </c>
      <c r="G35" t="s">
        <v>201</v>
      </c>
      <c r="H35" t="s">
        <v>202</v>
      </c>
      <c r="I35" t="s">
        <v>203</v>
      </c>
      <c r="J35" t="s">
        <v>204</v>
      </c>
      <c r="K35" t="s">
        <v>205</v>
      </c>
      <c r="M35" t="str">
        <f>Games!B25</f>
        <v>Alberta 1</v>
      </c>
      <c r="N35" s="10" t="str">
        <f>Games!C25</f>
        <v xml:space="preserve"> </v>
      </c>
      <c r="O35" s="10" t="str">
        <f>Games!D25</f>
        <v>-</v>
      </c>
      <c r="P35" s="10" t="str">
        <f>Games!E25</f>
        <v xml:space="preserve"> </v>
      </c>
      <c r="Q35" t="str">
        <f>Games!F25</f>
        <v>Eskilstuna Tanks</v>
      </c>
      <c r="S35" t="str">
        <f t="shared" si="5"/>
        <v>Alberta 1</v>
      </c>
      <c r="T35" s="10" t="str">
        <f t="shared" si="6"/>
        <v/>
      </c>
      <c r="U35" s="10" t="str">
        <f t="shared" si="7"/>
        <v>-</v>
      </c>
      <c r="V35" s="10" t="str">
        <f t="shared" si="6"/>
        <v/>
      </c>
      <c r="W35" t="str">
        <f t="shared" si="8"/>
        <v>Eskilstuna Tanks</v>
      </c>
      <c r="Y35" s="10" t="str">
        <f t="shared" si="9"/>
        <v/>
      </c>
      <c r="Z35" s="10" t="str">
        <f t="shared" si="10"/>
        <v/>
      </c>
    </row>
    <row r="36" spans="2:26" x14ac:dyDescent="0.3">
      <c r="B36" t="str">
        <f>'Teams +Groups'!H22</f>
        <v>Alberta 1</v>
      </c>
      <c r="C36" cm="1">
        <f t="array" ref="C36">SUM(($S$35:$S$40=Div_1_A[[#This Row],[Team]])*(ISNUMBER($T$35:$T$40)),($W$35:$W$40=Div_1_A[[#This Row],[Team]])*(ISNUMBER($V$35:$V$40)))</f>
        <v>0</v>
      </c>
      <c r="D36">
        <f>COUNTIF($Y$35:$Y$40,Div_1_A[[#This Row],[Team]])</f>
        <v>0</v>
      </c>
      <c r="E36">
        <f>COUNTIF($Z$35:$Z$40,Div_1_A[[#This Row],[Team]])</f>
        <v>0</v>
      </c>
      <c r="F36">
        <f>Div_1_A[[#This Row],[GP]]-Div_1_A[[#This Row],[W]]-Div_1_A[[#This Row],[L]]</f>
        <v>0</v>
      </c>
      <c r="G36">
        <f>SUMIF($S$35:$S$40,Div_1_A[[#This Row],[Team]],$T$35:$T$40) + SUMIF($W$35:$W$40,Div_1_A[[#This Row],[Team]],$V$35:$V$40)</f>
        <v>0</v>
      </c>
      <c r="H36">
        <f>SUMIF($S$35:$S$40,Div_1_A[[#This Row],[Team]],$V$35:$V$40) + SUMIF($W$35:$W$40,Div_1_A[[#This Row],[Team]],$T$35:$T$40)</f>
        <v>0</v>
      </c>
      <c r="I36">
        <f>Div_1_A[[#This Row],[SG]]-Div_1_A[[#This Row],[CG]]</f>
        <v>0</v>
      </c>
      <c r="K36">
        <f>3*Div_1_A[[#This Row],[W]]+Div_1_A[[#This Row],[E]]</f>
        <v>0</v>
      </c>
      <c r="M36" t="str">
        <f>Games!B26</f>
        <v>Alberta 1</v>
      </c>
      <c r="N36" s="10" t="str">
        <f>Games!C26</f>
        <v xml:space="preserve"> </v>
      </c>
      <c r="O36" s="10" t="str">
        <f>Games!D26</f>
        <v>-</v>
      </c>
      <c r="P36" s="10" t="str">
        <f>Games!E26</f>
        <v xml:space="preserve"> </v>
      </c>
      <c r="Q36" t="str">
        <f>Games!F26</f>
        <v>Boston 2</v>
      </c>
      <c r="S36" t="str">
        <f t="shared" si="5"/>
        <v>Alberta 1</v>
      </c>
      <c r="T36" s="10" t="str">
        <f t="shared" si="6"/>
        <v/>
      </c>
      <c r="U36" s="10" t="str">
        <f t="shared" si="7"/>
        <v>-</v>
      </c>
      <c r="V36" s="10" t="str">
        <f t="shared" si="6"/>
        <v/>
      </c>
      <c r="W36" t="str">
        <f t="shared" si="8"/>
        <v>Boston 2</v>
      </c>
      <c r="Y36" s="10" t="str">
        <f t="shared" si="9"/>
        <v/>
      </c>
      <c r="Z36" s="10" t="str">
        <f t="shared" si="10"/>
        <v/>
      </c>
    </row>
    <row r="37" spans="2:26" x14ac:dyDescent="0.3">
      <c r="B37" t="str">
        <f>'Teams +Groups'!H23</f>
        <v>Eskilstuna Tanks</v>
      </c>
      <c r="C37" cm="1">
        <f t="array" ref="C37">SUM(($S$35:$S$40=Div_1_A[[#This Row],[Team]])*(ISNUMBER($T$35:$T$40)),($W$35:$W$40=Div_1_A[[#This Row],[Team]])*(ISNUMBER($V$35:$V$40)))</f>
        <v>0</v>
      </c>
      <c r="D37">
        <f>COUNTIF($Y$35:$Y$40,Div_1_A[[#This Row],[Team]])</f>
        <v>0</v>
      </c>
      <c r="E37">
        <f>COUNTIF($Z$35:$Z$40,Div_1_A[[#This Row],[Team]])</f>
        <v>0</v>
      </c>
      <c r="F37">
        <f>Div_1_A[[#This Row],[GP]]-Div_1_A[[#This Row],[W]]-Div_1_A[[#This Row],[L]]</f>
        <v>0</v>
      </c>
      <c r="G37">
        <f>SUMIF($S$35:$S$40,Div_1_A[[#This Row],[Team]],$T$35:$T$40) + SUMIF($W$35:$W$40,Div_1_A[[#This Row],[Team]],$V$35:$V$40)</f>
        <v>0</v>
      </c>
      <c r="H37">
        <f>SUMIF($S$35:$S$40,Div_1_A[[#This Row],[Team]],$V$35:$V$40) + SUMIF($W$35:$W$40,Div_1_A[[#This Row],[Team]],$T$35:$T$40)</f>
        <v>0</v>
      </c>
      <c r="I37">
        <f>Div_1_A[[#This Row],[SG]]-Div_1_A[[#This Row],[CG]]</f>
        <v>0</v>
      </c>
      <c r="K37">
        <f>3*Div_1_A[[#This Row],[W]]+Div_1_A[[#This Row],[E]]</f>
        <v>0</v>
      </c>
      <c r="M37" t="str">
        <f>Games!B27</f>
        <v>Alberta 1</v>
      </c>
      <c r="N37" s="10" t="str">
        <f>Games!C27</f>
        <v xml:space="preserve"> </v>
      </c>
      <c r="O37" s="10" t="str">
        <f>Games!D27</f>
        <v>-</v>
      </c>
      <c r="P37" s="10" t="str">
        <f>Games!E27</f>
        <v xml:space="preserve"> </v>
      </c>
      <c r="Q37" t="str">
        <f>Games!F27</f>
        <v>Ontario </v>
      </c>
      <c r="S37" t="str">
        <f t="shared" si="5"/>
        <v>Alberta 1</v>
      </c>
      <c r="T37" s="10" t="str">
        <f t="shared" si="6"/>
        <v/>
      </c>
      <c r="U37" s="10" t="str">
        <f t="shared" si="7"/>
        <v>-</v>
      </c>
      <c r="V37" s="10" t="str">
        <f t="shared" si="6"/>
        <v/>
      </c>
      <c r="W37" t="str">
        <f t="shared" si="8"/>
        <v>Ontario </v>
      </c>
      <c r="Y37" s="10" t="str">
        <f t="shared" si="9"/>
        <v/>
      </c>
      <c r="Z37" s="10" t="str">
        <f t="shared" si="10"/>
        <v/>
      </c>
    </row>
    <row r="38" spans="2:26" x14ac:dyDescent="0.3">
      <c r="B38" t="str">
        <f>'Teams +Groups'!H24</f>
        <v>Boston 2</v>
      </c>
      <c r="C38" cm="1">
        <f t="array" ref="C38">SUM(($S$35:$S$40=Div_1_A[[#This Row],[Team]])*(ISNUMBER($T$35:$T$40)),($W$35:$W$40=Div_1_A[[#This Row],[Team]])*(ISNUMBER($V$35:$V$40)))</f>
        <v>0</v>
      </c>
      <c r="D38">
        <f>COUNTIF($Y$35:$Y$40,Div_1_A[[#This Row],[Team]])</f>
        <v>0</v>
      </c>
      <c r="E38">
        <f>COUNTIF($Z$35:$Z$40,Div_1_A[[#This Row],[Team]])</f>
        <v>0</v>
      </c>
      <c r="F38">
        <f>Div_1_A[[#This Row],[GP]]-Div_1_A[[#This Row],[W]]-Div_1_A[[#This Row],[L]]</f>
        <v>0</v>
      </c>
      <c r="G38">
        <f>SUMIF($S$35:$S$40,Div_1_A[[#This Row],[Team]],$T$35:$T$40) + SUMIF($W$35:$W$40,Div_1_A[[#This Row],[Team]],$V$35:$V$40)</f>
        <v>0</v>
      </c>
      <c r="H38">
        <f>SUMIF($S$35:$S$40,Div_1_A[[#This Row],[Team]],$V$35:$V$40) + SUMIF($W$35:$W$40,Div_1_A[[#This Row],[Team]],$T$35:$T$40)</f>
        <v>0</v>
      </c>
      <c r="I38">
        <f>Div_1_A[[#This Row],[SG]]-Div_1_A[[#This Row],[CG]]</f>
        <v>0</v>
      </c>
      <c r="K38">
        <f>3*Div_1_A[[#This Row],[W]]+Div_1_A[[#This Row],[E]]</f>
        <v>0</v>
      </c>
      <c r="M38" t="str">
        <f>Games!H25</f>
        <v>Boston 2</v>
      </c>
      <c r="N38" s="10" t="str">
        <f>Games!I25</f>
        <v xml:space="preserve"> </v>
      </c>
      <c r="O38" s="10" t="str">
        <f>Games!J25</f>
        <v>-</v>
      </c>
      <c r="P38" s="10" t="str">
        <f>Games!K25</f>
        <v xml:space="preserve"> </v>
      </c>
      <c r="Q38" t="str">
        <f>Games!L25</f>
        <v>Ontario </v>
      </c>
      <c r="S38" t="str">
        <f t="shared" si="5"/>
        <v>Boston 2</v>
      </c>
      <c r="T38" s="10" t="str">
        <f t="shared" si="6"/>
        <v/>
      </c>
      <c r="U38" s="10" t="str">
        <f t="shared" si="7"/>
        <v>-</v>
      </c>
      <c r="V38" s="10" t="str">
        <f t="shared" si="6"/>
        <v/>
      </c>
      <c r="W38" t="str">
        <f t="shared" si="8"/>
        <v>Ontario </v>
      </c>
      <c r="Y38" s="10" t="str">
        <f t="shared" si="9"/>
        <v/>
      </c>
      <c r="Z38" s="10" t="str">
        <f t="shared" si="10"/>
        <v/>
      </c>
    </row>
    <row r="39" spans="2:26" x14ac:dyDescent="0.3">
      <c r="B39" t="str">
        <f>'Teams +Groups'!H25</f>
        <v>Ontario </v>
      </c>
      <c r="C39" cm="1">
        <f t="array" ref="C39">SUM(($S$35:$S$40=Div_1_A[[#This Row],[Team]])*(ISNUMBER($T$35:$T$40)),($W$35:$W$40=Div_1_A[[#This Row],[Team]])*(ISNUMBER($V$35:$V$40)))</f>
        <v>0</v>
      </c>
      <c r="D39">
        <f>COUNTIF($Y$35:$Y$40,Div_1_A[[#This Row],[Team]])</f>
        <v>0</v>
      </c>
      <c r="E39">
        <f>COUNTIF($Z$35:$Z$40,Div_1_A[[#This Row],[Team]])</f>
        <v>0</v>
      </c>
      <c r="F39">
        <f>Div_1_A[[#This Row],[GP]]-Div_1_A[[#This Row],[W]]-Div_1_A[[#This Row],[L]]</f>
        <v>0</v>
      </c>
      <c r="G39">
        <f>SUMIF($S$35:$S$40,Div_1_A[[#This Row],[Team]],$T$35:$T$40) + SUMIF($W$35:$W$40,Div_1_A[[#This Row],[Team]],$V$35:$V$40)</f>
        <v>0</v>
      </c>
      <c r="H39">
        <f>SUMIF($S$35:$S$40,Div_1_A[[#This Row],[Team]],$V$35:$V$40) + SUMIF($W$35:$W$40,Div_1_A[[#This Row],[Team]],$T$35:$T$40)</f>
        <v>0</v>
      </c>
      <c r="I39">
        <f>Div_1_A[[#This Row],[SG]]-Div_1_A[[#This Row],[CG]]</f>
        <v>0</v>
      </c>
      <c r="K39">
        <f>3*Div_1_A[[#This Row],[W]]+Div_1_A[[#This Row],[E]]</f>
        <v>0</v>
      </c>
      <c r="M39" t="str">
        <f>Games!H26</f>
        <v>Ontario </v>
      </c>
      <c r="N39" s="10" t="str">
        <f>Games!I26</f>
        <v xml:space="preserve"> </v>
      </c>
      <c r="O39" s="10" t="str">
        <f>Games!J26</f>
        <v>-</v>
      </c>
      <c r="P39" s="10" t="str">
        <f>Games!K26</f>
        <v xml:space="preserve"> </v>
      </c>
      <c r="Q39" t="str">
        <f>Games!L26</f>
        <v>Eskilstuna Tanks</v>
      </c>
      <c r="S39" t="str">
        <f t="shared" si="5"/>
        <v>Ontario </v>
      </c>
      <c r="T39" s="10" t="str">
        <f t="shared" si="6"/>
        <v/>
      </c>
      <c r="U39" s="10" t="str">
        <f t="shared" si="7"/>
        <v>-</v>
      </c>
      <c r="V39" s="10" t="str">
        <f t="shared" si="6"/>
        <v/>
      </c>
      <c r="W39" t="str">
        <f t="shared" si="8"/>
        <v>Eskilstuna Tanks</v>
      </c>
      <c r="Y39" s="10" t="str">
        <f t="shared" si="9"/>
        <v/>
      </c>
      <c r="Z39" s="10" t="str">
        <f t="shared" si="10"/>
        <v/>
      </c>
    </row>
    <row r="40" spans="2:26" x14ac:dyDescent="0.3">
      <c r="M40" t="str">
        <f>Games!H27</f>
        <v>Eskilstuna Tanks</v>
      </c>
      <c r="N40" s="10" t="str">
        <f>Games!I27</f>
        <v xml:space="preserve"> </v>
      </c>
      <c r="O40" s="10" t="str">
        <f>Games!J27</f>
        <v>-</v>
      </c>
      <c r="P40" s="10" t="str">
        <f>Games!K27</f>
        <v xml:space="preserve"> </v>
      </c>
      <c r="Q40" t="str">
        <f>Games!L27</f>
        <v>Boston 2</v>
      </c>
      <c r="S40" t="str">
        <f t="shared" si="5"/>
        <v>Eskilstuna Tanks</v>
      </c>
      <c r="T40" s="10" t="str">
        <f t="shared" si="6"/>
        <v/>
      </c>
      <c r="U40" s="10" t="str">
        <f t="shared" si="7"/>
        <v>-</v>
      </c>
      <c r="V40" s="10" t="str">
        <f t="shared" si="6"/>
        <v/>
      </c>
      <c r="W40" t="str">
        <f t="shared" si="8"/>
        <v>Boston 2</v>
      </c>
      <c r="Y40" s="10" t="str">
        <f t="shared" si="9"/>
        <v/>
      </c>
      <c r="Z40" s="10" t="str">
        <f t="shared" si="10"/>
        <v/>
      </c>
    </row>
    <row r="41" spans="2:26" x14ac:dyDescent="0.3">
      <c r="S41" t="str">
        <f t="shared" si="5"/>
        <v/>
      </c>
      <c r="T41" s="10" t="str">
        <f t="shared" si="6"/>
        <v/>
      </c>
      <c r="U41" s="10" t="str">
        <f t="shared" si="7"/>
        <v/>
      </c>
      <c r="V41" s="10" t="str">
        <f t="shared" si="6"/>
        <v/>
      </c>
      <c r="W41" t="str">
        <f t="shared" si="8"/>
        <v/>
      </c>
      <c r="Y41" s="10" t="str">
        <f t="shared" si="9"/>
        <v/>
      </c>
      <c r="Z41" s="10" t="str">
        <f t="shared" si="10"/>
        <v/>
      </c>
    </row>
    <row r="42" spans="2:26" x14ac:dyDescent="0.3">
      <c r="B42" s="8" t="s">
        <v>210</v>
      </c>
      <c r="C42" s="8"/>
      <c r="D42" s="8"/>
      <c r="E42" s="8"/>
      <c r="F42" s="8"/>
      <c r="G42" s="8"/>
      <c r="H42" s="8"/>
      <c r="I42" s="8"/>
      <c r="J42" s="8"/>
      <c r="K42" s="8"/>
      <c r="M42" t="str">
        <f>Games!A29</f>
        <v>Grupp B</v>
      </c>
      <c r="S42" t="str">
        <f t="shared" si="5"/>
        <v>Grupp B</v>
      </c>
      <c r="T42" s="10" t="str">
        <f t="shared" si="6"/>
        <v/>
      </c>
      <c r="U42" s="10" t="str">
        <f t="shared" si="7"/>
        <v/>
      </c>
      <c r="V42" s="10" t="str">
        <f t="shared" si="6"/>
        <v/>
      </c>
      <c r="W42" t="str">
        <f t="shared" si="8"/>
        <v/>
      </c>
      <c r="Y42" s="10" t="str">
        <f t="shared" si="9"/>
        <v/>
      </c>
      <c r="Z42" s="10" t="str">
        <f t="shared" si="10"/>
        <v/>
      </c>
    </row>
    <row r="43" spans="2:26" x14ac:dyDescent="0.3">
      <c r="B43" t="s">
        <v>196</v>
      </c>
      <c r="C43" t="s">
        <v>197</v>
      </c>
      <c r="D43" t="s">
        <v>198</v>
      </c>
      <c r="E43" t="s">
        <v>199</v>
      </c>
      <c r="F43" t="s">
        <v>200</v>
      </c>
      <c r="G43" t="s">
        <v>201</v>
      </c>
      <c r="H43" t="s">
        <v>202</v>
      </c>
      <c r="I43" t="s">
        <v>203</v>
      </c>
      <c r="J43" t="s">
        <v>204</v>
      </c>
      <c r="K43" t="s">
        <v>205</v>
      </c>
      <c r="M43" t="str">
        <f>Games!B30</f>
        <v>IFAH 3</v>
      </c>
      <c r="N43" s="10" t="str">
        <f>Games!C30</f>
        <v xml:space="preserve"> </v>
      </c>
      <c r="O43" s="10" t="str">
        <f>Games!D30</f>
        <v>-</v>
      </c>
      <c r="P43" s="10" t="str">
        <f>Games!E30</f>
        <v xml:space="preserve"> </v>
      </c>
      <c r="Q43" t="str">
        <f>Games!F30</f>
        <v>Alberta 2</v>
      </c>
      <c r="S43" t="str">
        <f t="shared" si="5"/>
        <v>IFAH 3</v>
      </c>
      <c r="T43" s="10" t="str">
        <f t="shared" si="6"/>
        <v/>
      </c>
      <c r="U43" s="10" t="str">
        <f t="shared" si="7"/>
        <v>-</v>
      </c>
      <c r="V43" s="10" t="str">
        <f t="shared" si="6"/>
        <v/>
      </c>
      <c r="W43" t="str">
        <f t="shared" si="8"/>
        <v>Alberta 2</v>
      </c>
      <c r="Y43" s="10" t="str">
        <f t="shared" si="9"/>
        <v/>
      </c>
      <c r="Z43" s="10" t="str">
        <f t="shared" si="10"/>
        <v/>
      </c>
    </row>
    <row r="44" spans="2:26" x14ac:dyDescent="0.3">
      <c r="B44" t="str">
        <f>'Teams +Groups'!I22</f>
        <v>IFAH 3</v>
      </c>
      <c r="C44" cm="1">
        <f t="array" ref="C44">SUM(($S$43:$S$48=Div_1_B[[#This Row],[Team]])*(ISNUMBER($T$43:$T$48)),($W$43:$W$48=Div_1_B[[#This Row],[Team]])*(ISNUMBER($V$43:$V$48)))</f>
        <v>0</v>
      </c>
      <c r="D44">
        <f>COUNTIF($Y$43:$Y$48,Div_1_B[[#This Row],[Team]])</f>
        <v>0</v>
      </c>
      <c r="E44">
        <f>COUNTIF($Z$43:$Z$48,Div_1_B[[#This Row],[Team]])</f>
        <v>0</v>
      </c>
      <c r="F44">
        <f>Div_1_B[[#This Row],[GP]]-Div_1_B[[#This Row],[W]]-Div_1_B[[#This Row],[L]]</f>
        <v>0</v>
      </c>
      <c r="G44">
        <f>SUMIF($S$43:$S$48,Div_1_B[[#This Row],[Team]],$T$43:$T$48) + SUMIF($W$43:$W$48,Div_1_B[[#This Row],[Team]],$V$43:$V$48)</f>
        <v>0</v>
      </c>
      <c r="H44">
        <f>SUMIF($S$43:$S$48,Div_1_B[[#This Row],[Team]],$V$43:$V$48) + SUMIF($W$43:$W$48,Div_1_B[[#This Row],[Team]],$T$43:$T$48)</f>
        <v>0</v>
      </c>
      <c r="I44">
        <f>Div_1_B[[#This Row],[SG]]-Div_1_B[[#This Row],[CG]]</f>
        <v>0</v>
      </c>
      <c r="K44">
        <f>3*Div_1_B[[#This Row],[W]]+Div_1_B[[#This Row],[E]]</f>
        <v>0</v>
      </c>
      <c r="M44" t="str">
        <f>Games!B31</f>
        <v>IFAH 3</v>
      </c>
      <c r="N44" s="10" t="str">
        <f>Games!C31</f>
        <v xml:space="preserve"> </v>
      </c>
      <c r="O44" s="10" t="str">
        <f>Games!D31</f>
        <v>-</v>
      </c>
      <c r="P44" s="10" t="str">
        <f>Games!E31</f>
        <v xml:space="preserve"> </v>
      </c>
      <c r="Q44" t="str">
        <f>Games!F31</f>
        <v>Boston 1</v>
      </c>
      <c r="S44" t="str">
        <f t="shared" si="5"/>
        <v>IFAH 3</v>
      </c>
      <c r="T44" s="10" t="str">
        <f t="shared" si="6"/>
        <v/>
      </c>
      <c r="U44" s="10" t="str">
        <f t="shared" si="7"/>
        <v>-</v>
      </c>
      <c r="V44" s="10" t="str">
        <f t="shared" si="6"/>
        <v/>
      </c>
      <c r="W44" t="str">
        <f t="shared" si="8"/>
        <v>Boston 1</v>
      </c>
      <c r="Y44" s="10" t="str">
        <f t="shared" si="9"/>
        <v/>
      </c>
      <c r="Z44" s="10" t="str">
        <f t="shared" si="10"/>
        <v/>
      </c>
    </row>
    <row r="45" spans="2:26" x14ac:dyDescent="0.3">
      <c r="B45" t="str">
        <f>'Teams +Groups'!I23</f>
        <v>Alberta 2</v>
      </c>
      <c r="C45" cm="1">
        <f t="array" ref="C45">SUM(($S$43:$S$48=Div_1_B[[#This Row],[Team]])*(ISNUMBER($T$43:$T$48)),($W$43:$W$48=Div_1_B[[#This Row],[Team]])*(ISNUMBER($V$43:$V$48)))</f>
        <v>0</v>
      </c>
      <c r="D45">
        <f>COUNTIF($Y$43:$Y$48,Div_1_B[[#This Row],[Team]])</f>
        <v>0</v>
      </c>
      <c r="E45">
        <f>COUNTIF($Z$43:$Z$48,Div_1_B[[#This Row],[Team]])</f>
        <v>0</v>
      </c>
      <c r="F45">
        <f>Div_1_B[[#This Row],[GP]]-Div_1_B[[#This Row],[W]]-Div_1_B[[#This Row],[L]]</f>
        <v>0</v>
      </c>
      <c r="G45">
        <f>SUMIF($S$43:$S$48,Div_1_B[[#This Row],[Team]],$T$43:$T$48) + SUMIF($W$43:$W$48,Div_1_B[[#This Row],[Team]],$V$43:$V$48)</f>
        <v>0</v>
      </c>
      <c r="H45">
        <f>SUMIF($S$43:$S$48,Div_1_B[[#This Row],[Team]],$V$43:$V$48) + SUMIF($W$43:$W$48,Div_1_B[[#This Row],[Team]],$T$43:$T$48)</f>
        <v>0</v>
      </c>
      <c r="I45">
        <f>Div_1_B[[#This Row],[SG]]-Div_1_B[[#This Row],[CG]]</f>
        <v>0</v>
      </c>
      <c r="K45">
        <f>3*Div_1_B[[#This Row],[W]]+Div_1_B[[#This Row],[E]]</f>
        <v>0</v>
      </c>
      <c r="M45" t="str">
        <f>Games!B32</f>
        <v>IFAH 3</v>
      </c>
      <c r="N45" s="10" t="str">
        <f>Games!C32</f>
        <v xml:space="preserve"> </v>
      </c>
      <c r="O45" s="10" t="str">
        <f>Games!D32</f>
        <v>-</v>
      </c>
      <c r="P45" s="10" t="str">
        <f>Games!E32</f>
        <v xml:space="preserve"> </v>
      </c>
      <c r="Q45" t="str">
        <f>Games!F32</f>
        <v>FIFH Malmö 3 </v>
      </c>
      <c r="S45" t="str">
        <f t="shared" si="5"/>
        <v>IFAH 3</v>
      </c>
      <c r="T45" s="10" t="str">
        <f t="shared" si="6"/>
        <v/>
      </c>
      <c r="U45" s="10" t="str">
        <f t="shared" si="7"/>
        <v>-</v>
      </c>
      <c r="V45" s="10" t="str">
        <f t="shared" si="6"/>
        <v/>
      </c>
      <c r="W45" t="str">
        <f t="shared" si="8"/>
        <v>FIFH Malmö 3 </v>
      </c>
      <c r="Y45" s="10" t="str">
        <f t="shared" si="9"/>
        <v/>
      </c>
      <c r="Z45" s="10" t="str">
        <f t="shared" si="10"/>
        <v/>
      </c>
    </row>
    <row r="46" spans="2:26" x14ac:dyDescent="0.3">
      <c r="B46" t="str">
        <f>'Teams +Groups'!I24</f>
        <v>Boston 1</v>
      </c>
      <c r="C46" cm="1">
        <f t="array" ref="C46">SUM(($S$43:$S$48=Div_1_B[[#This Row],[Team]])*(ISNUMBER($T$43:$T$48)),($W$43:$W$48=Div_1_B[[#This Row],[Team]])*(ISNUMBER($V$43:$V$48)))</f>
        <v>0</v>
      </c>
      <c r="D46">
        <f>COUNTIF($Y$43:$Y$48,Div_1_B[[#This Row],[Team]])</f>
        <v>0</v>
      </c>
      <c r="E46">
        <f>COUNTIF($Z$43:$Z$48,Div_1_B[[#This Row],[Team]])</f>
        <v>0</v>
      </c>
      <c r="F46">
        <f>Div_1_B[[#This Row],[GP]]-Div_1_B[[#This Row],[W]]-Div_1_B[[#This Row],[L]]</f>
        <v>0</v>
      </c>
      <c r="G46">
        <f>SUMIF($S$43:$S$48,Div_1_B[[#This Row],[Team]],$T$43:$T$48) + SUMIF($W$43:$W$48,Div_1_B[[#This Row],[Team]],$V$43:$V$48)</f>
        <v>0</v>
      </c>
      <c r="H46">
        <f>SUMIF($S$43:$S$48,Div_1_B[[#This Row],[Team]],$V$43:$V$48) + SUMIF($W$43:$W$48,Div_1_B[[#This Row],[Team]],$T$43:$T$48)</f>
        <v>0</v>
      </c>
      <c r="I46">
        <f>Div_1_B[[#This Row],[SG]]-Div_1_B[[#This Row],[CG]]</f>
        <v>0</v>
      </c>
      <c r="K46">
        <f>3*Div_1_B[[#This Row],[W]]+Div_1_B[[#This Row],[E]]</f>
        <v>0</v>
      </c>
      <c r="M46" t="str">
        <f>Games!H30</f>
        <v>Boston 1</v>
      </c>
      <c r="N46" s="10" t="str">
        <f>Games!I30</f>
        <v xml:space="preserve"> </v>
      </c>
      <c r="O46" s="10" t="str">
        <f>Games!J30</f>
        <v>-</v>
      </c>
      <c r="P46" s="10" t="str">
        <f>Games!K30</f>
        <v xml:space="preserve"> </v>
      </c>
      <c r="Q46" t="str">
        <f>Games!L30</f>
        <v>FIFH Malmö 3 </v>
      </c>
      <c r="S46" t="str">
        <f t="shared" si="5"/>
        <v>Boston 1</v>
      </c>
      <c r="T46" s="10" t="str">
        <f t="shared" si="6"/>
        <v/>
      </c>
      <c r="U46" s="10" t="str">
        <f t="shared" si="7"/>
        <v>-</v>
      </c>
      <c r="V46" s="10" t="str">
        <f t="shared" si="6"/>
        <v/>
      </c>
      <c r="W46" t="str">
        <f t="shared" si="8"/>
        <v>FIFH Malmö 3 </v>
      </c>
      <c r="Y46" s="10" t="str">
        <f t="shared" si="9"/>
        <v/>
      </c>
      <c r="Z46" s="10" t="str">
        <f t="shared" si="10"/>
        <v/>
      </c>
    </row>
    <row r="47" spans="2:26" x14ac:dyDescent="0.3">
      <c r="B47" t="str">
        <f>'Teams +Groups'!I25</f>
        <v>FIFH Malmö 3 </v>
      </c>
      <c r="C47" cm="1">
        <f t="array" ref="C47">SUM(($S$43:$S$48=Div_1_B[[#This Row],[Team]])*(ISNUMBER($T$43:$T$48)),($W$43:$W$48=Div_1_B[[#This Row],[Team]])*(ISNUMBER($V$43:$V$48)))</f>
        <v>0</v>
      </c>
      <c r="D47">
        <f>COUNTIF($Y$43:$Y$48,Div_1_B[[#This Row],[Team]])</f>
        <v>0</v>
      </c>
      <c r="E47">
        <f>COUNTIF($Z$43:$Z$48,Div_1_B[[#This Row],[Team]])</f>
        <v>0</v>
      </c>
      <c r="F47">
        <f>Div_1_B[[#This Row],[GP]]-Div_1_B[[#This Row],[W]]-Div_1_B[[#This Row],[L]]</f>
        <v>0</v>
      </c>
      <c r="G47">
        <f>SUMIF($S$43:$S$48,Div_1_B[[#This Row],[Team]],$T$43:$T$48) + SUMIF($W$43:$W$48,Div_1_B[[#This Row],[Team]],$V$43:$V$48)</f>
        <v>0</v>
      </c>
      <c r="H47">
        <f>SUMIF($S$43:$S$48,Div_1_B[[#This Row],[Team]],$V$43:$V$48) + SUMIF($W$43:$W$48,Div_1_B[[#This Row],[Team]],$T$43:$T$48)</f>
        <v>0</v>
      </c>
      <c r="I47">
        <f>Div_1_B[[#This Row],[SG]]-Div_1_B[[#This Row],[CG]]</f>
        <v>0</v>
      </c>
      <c r="K47">
        <f>3*Div_1_B[[#This Row],[W]]+Div_1_B[[#This Row],[E]]</f>
        <v>0</v>
      </c>
      <c r="M47" t="str">
        <f>Games!H31</f>
        <v>FIFH Malmö 3 </v>
      </c>
      <c r="N47" s="10" t="str">
        <f>Games!I31</f>
        <v xml:space="preserve"> </v>
      </c>
      <c r="O47" s="10" t="str">
        <f>Games!J31</f>
        <v>-</v>
      </c>
      <c r="P47" s="10" t="str">
        <f>Games!K31</f>
        <v xml:space="preserve"> </v>
      </c>
      <c r="Q47" t="str">
        <f>Games!L31</f>
        <v>Alberta 2</v>
      </c>
      <c r="S47" t="str">
        <f t="shared" si="5"/>
        <v>FIFH Malmö 3 </v>
      </c>
      <c r="T47" s="10" t="str">
        <f t="shared" si="6"/>
        <v/>
      </c>
      <c r="U47" s="10" t="str">
        <f t="shared" si="7"/>
        <v>-</v>
      </c>
      <c r="V47" s="10" t="str">
        <f t="shared" si="6"/>
        <v/>
      </c>
      <c r="W47" t="str">
        <f t="shared" si="8"/>
        <v>Alberta 2</v>
      </c>
      <c r="Y47" s="10" t="str">
        <f t="shared" si="9"/>
        <v/>
      </c>
      <c r="Z47" s="10" t="str">
        <f t="shared" si="10"/>
        <v/>
      </c>
    </row>
    <row r="48" spans="2:26" x14ac:dyDescent="0.3">
      <c r="M48" t="str">
        <f>Games!H32</f>
        <v>Alberta 2</v>
      </c>
      <c r="N48" s="10" t="str">
        <f>Games!I32</f>
        <v xml:space="preserve"> </v>
      </c>
      <c r="O48" s="10" t="str">
        <f>Games!J32</f>
        <v>-</v>
      </c>
      <c r="P48" s="10" t="str">
        <f>Games!K32</f>
        <v xml:space="preserve"> </v>
      </c>
      <c r="Q48" t="str">
        <f>Games!L32</f>
        <v>Boston 1</v>
      </c>
      <c r="S48" t="str">
        <f t="shared" si="5"/>
        <v>Alberta 2</v>
      </c>
      <c r="T48" s="10" t="str">
        <f t="shared" si="6"/>
        <v/>
      </c>
      <c r="U48" s="10" t="str">
        <f t="shared" si="7"/>
        <v>-</v>
      </c>
      <c r="V48" s="10" t="str">
        <f t="shared" si="6"/>
        <v/>
      </c>
      <c r="W48" t="str">
        <f t="shared" si="8"/>
        <v>Boston 1</v>
      </c>
      <c r="Y48" s="10" t="str">
        <f t="shared" si="9"/>
        <v/>
      </c>
      <c r="Z48" s="10" t="str">
        <f t="shared" si="10"/>
        <v/>
      </c>
    </row>
  </sheetData>
  <mergeCells count="4">
    <mergeCell ref="B2:K2"/>
    <mergeCell ref="B18:K18"/>
    <mergeCell ref="B10:K10"/>
    <mergeCell ref="B34:K3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9E0B-6175-40ED-A45D-2D85C8A27E08}">
  <sheetPr>
    <pageSetUpPr fitToPage="1"/>
  </sheetPr>
  <dimension ref="A1:R26"/>
  <sheetViews>
    <sheetView zoomScale="77" zoomScaleNormal="130" workbookViewId="0">
      <selection activeCell="H3" sqref="H3"/>
    </sheetView>
  </sheetViews>
  <sheetFormatPr defaultRowHeight="14.4" x14ac:dyDescent="0.3"/>
  <cols>
    <col min="1" max="1" width="6.5546875" bestFit="1" customWidth="1"/>
    <col min="3" max="3" width="17.33203125" style="31" bestFit="1" customWidth="1"/>
    <col min="4" max="5" width="18.109375" style="17" customWidth="1"/>
    <col min="7" max="7" width="17.33203125" style="31" bestFit="1" customWidth="1"/>
    <col min="8" max="9" width="18.109375" style="17" customWidth="1"/>
    <col min="11" max="11" width="17.44140625" style="31" bestFit="1" customWidth="1"/>
    <col min="12" max="13" width="18.109375" style="17" customWidth="1"/>
    <col min="15" max="15" width="17.44140625" style="31" bestFit="1" customWidth="1"/>
    <col min="16" max="17" width="18.109375" style="17" customWidth="1"/>
  </cols>
  <sheetData>
    <row r="1" spans="1:18" ht="15.6" x14ac:dyDescent="0.3">
      <c r="A1" s="1" t="s">
        <v>122</v>
      </c>
      <c r="C1" s="31" t="s">
        <v>214</v>
      </c>
      <c r="D1" s="40" t="s">
        <v>123</v>
      </c>
      <c r="E1" s="41"/>
      <c r="G1" s="31" t="s">
        <v>214</v>
      </c>
      <c r="H1" s="40" t="s">
        <v>124</v>
      </c>
      <c r="I1" s="41"/>
      <c r="K1" s="31" t="s">
        <v>214</v>
      </c>
      <c r="L1" s="40" t="s">
        <v>125</v>
      </c>
      <c r="M1" s="41"/>
      <c r="O1" s="31" t="s">
        <v>214</v>
      </c>
      <c r="P1" s="40" t="s">
        <v>126</v>
      </c>
      <c r="Q1" s="41"/>
    </row>
    <row r="2" spans="1:18" ht="15.6" x14ac:dyDescent="0.3">
      <c r="A2" s="9">
        <v>0.36458333333333331</v>
      </c>
      <c r="B2" s="42" t="s">
        <v>127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6" x14ac:dyDescent="0.3">
      <c r="A3" s="9">
        <v>0.40625</v>
      </c>
      <c r="C3" s="31" t="s">
        <v>193</v>
      </c>
      <c r="D3" s="13" t="str">
        <f>Games!B3</f>
        <v>IFAH 1</v>
      </c>
      <c r="E3" s="13" t="str">
        <f>Games!F3</f>
        <v>BHV Tigers</v>
      </c>
      <c r="G3" s="31" t="s">
        <v>207</v>
      </c>
      <c r="H3" s="15" t="str">
        <f>Games!B14</f>
        <v>Aabenraa 2 </v>
      </c>
      <c r="I3" s="15" t="str">
        <f>Games!F14</f>
        <v>IFAH 2</v>
      </c>
      <c r="K3" s="31" t="s">
        <v>209</v>
      </c>
      <c r="L3" s="11" t="str">
        <f>Games!B25</f>
        <v>Alberta 1</v>
      </c>
      <c r="M3" s="11" t="str">
        <f>Games!F25</f>
        <v>Eskilstuna Tanks</v>
      </c>
      <c r="O3" s="31" t="s">
        <v>209</v>
      </c>
      <c r="P3" s="11" t="str">
        <f>Games!H25</f>
        <v>Boston 2</v>
      </c>
      <c r="Q3" s="11" t="str">
        <f>Games!L25</f>
        <v>Ontario </v>
      </c>
    </row>
    <row r="4" spans="1:18" ht="15.6" x14ac:dyDescent="0.3">
      <c r="A4" s="9">
        <v>0.4375</v>
      </c>
      <c r="C4" s="31" t="s">
        <v>193</v>
      </c>
      <c r="D4" s="13" t="str">
        <f>Games!H3</f>
        <v>Aabenraa</v>
      </c>
      <c r="E4" s="13" t="str">
        <f>Games!L3</f>
        <v>KF Heros 1</v>
      </c>
      <c r="G4" s="31" t="s">
        <v>207</v>
      </c>
      <c r="H4" s="15" t="str">
        <f>Games!H14</f>
        <v>Lilleström </v>
      </c>
      <c r="I4" s="15" t="str">
        <f>Games!L14</f>
        <v>Norrköping Rhinos </v>
      </c>
      <c r="K4" s="31" t="s">
        <v>210</v>
      </c>
      <c r="L4" s="12" t="str">
        <f>Games!B30</f>
        <v>IFAH 3</v>
      </c>
      <c r="M4" s="12" t="str">
        <f>Games!F30</f>
        <v>Alberta 2</v>
      </c>
      <c r="O4" s="31" t="s">
        <v>210</v>
      </c>
      <c r="P4" s="12" t="str">
        <f>Games!H30</f>
        <v>Boston 1</v>
      </c>
      <c r="Q4" s="12" t="str">
        <f>Games!L30</f>
        <v>FIFH Malmö 3 </v>
      </c>
    </row>
    <row r="5" spans="1:18" ht="15.6" x14ac:dyDescent="0.3">
      <c r="A5" s="9">
        <v>0.46875</v>
      </c>
      <c r="C5" s="31" t="s">
        <v>208</v>
      </c>
      <c r="D5" s="16" t="str">
        <f>Games!B19</f>
        <v>Gårslev 2 </v>
      </c>
      <c r="E5" s="16" t="str">
        <f>Games!F19</f>
        <v>FIFH Malmö 2 </v>
      </c>
      <c r="G5" s="31" t="s">
        <v>208</v>
      </c>
      <c r="H5" s="16" t="str">
        <f>Games!H19</f>
        <v>KF Heros 2</v>
      </c>
      <c r="I5" s="16" t="str">
        <f>Games!L19</f>
        <v>Umeå Wolfs</v>
      </c>
      <c r="K5" s="31" t="s">
        <v>206</v>
      </c>
      <c r="L5" s="14" t="str">
        <f>Games!B8</f>
        <v>BHV Lions </v>
      </c>
      <c r="M5" s="14" t="str">
        <f>Games!F8</f>
        <v>FIFH Malmö 1</v>
      </c>
      <c r="O5" s="31" t="s">
        <v>206</v>
      </c>
      <c r="P5" s="14" t="str">
        <f>Games!H8</f>
        <v>Arendal </v>
      </c>
      <c r="Q5" s="14" t="str">
        <f>Games!L8</f>
        <v>Gårslev </v>
      </c>
    </row>
    <row r="6" spans="1:18" ht="15.6" x14ac:dyDescent="0.3">
      <c r="A6" s="9">
        <v>0.5</v>
      </c>
      <c r="C6" s="31" t="s">
        <v>209</v>
      </c>
      <c r="D6" s="11" t="str">
        <f>Games!B26</f>
        <v>Alberta 1</v>
      </c>
      <c r="E6" s="11" t="str">
        <f>Games!F26</f>
        <v>Boston 2</v>
      </c>
      <c r="G6" s="31" t="s">
        <v>209</v>
      </c>
      <c r="H6" s="11" t="str">
        <f>Games!H26</f>
        <v>Ontario </v>
      </c>
      <c r="I6" s="11" t="str">
        <f>Games!L26</f>
        <v>Eskilstuna Tanks</v>
      </c>
      <c r="L6" s="42" t="s">
        <v>135</v>
      </c>
      <c r="M6" s="42"/>
      <c r="N6" s="17"/>
      <c r="P6" s="42" t="s">
        <v>135</v>
      </c>
      <c r="Q6" s="42"/>
    </row>
    <row r="7" spans="1:18" ht="15.6" x14ac:dyDescent="0.3">
      <c r="A7" s="9">
        <v>0.53125</v>
      </c>
      <c r="D7" s="42" t="s">
        <v>135</v>
      </c>
      <c r="E7" s="42"/>
      <c r="H7" s="42" t="s">
        <v>135</v>
      </c>
      <c r="I7" s="42"/>
      <c r="K7" s="31" t="s">
        <v>193</v>
      </c>
      <c r="L7" s="13" t="str">
        <f>Games!B4</f>
        <v>IFAH 1</v>
      </c>
      <c r="M7" s="13" t="str">
        <f>Games!F4</f>
        <v>Aabenraa</v>
      </c>
      <c r="O7" s="31" t="s">
        <v>207</v>
      </c>
      <c r="P7" s="15" t="str">
        <f>Games!B15</f>
        <v>Aabenraa 2 </v>
      </c>
      <c r="Q7" s="15" t="str">
        <f>Games!F15</f>
        <v>Lilleström </v>
      </c>
      <c r="R7" s="17"/>
    </row>
    <row r="8" spans="1:18" ht="15.6" x14ac:dyDescent="0.3">
      <c r="A8" s="9">
        <v>0.5625</v>
      </c>
      <c r="C8" s="31" t="s">
        <v>210</v>
      </c>
      <c r="D8" s="12" t="str">
        <f>Games!B31</f>
        <v>IFAH 3</v>
      </c>
      <c r="E8" s="12" t="str">
        <f>Games!F31</f>
        <v>Boston 1</v>
      </c>
      <c r="G8" s="31" t="s">
        <v>210</v>
      </c>
      <c r="H8" s="12" t="str">
        <f>Games!H31</f>
        <v>FIFH Malmö 3 </v>
      </c>
      <c r="I8" s="12" t="str">
        <f>Games!L31</f>
        <v>Alberta 2</v>
      </c>
      <c r="K8" s="31" t="s">
        <v>193</v>
      </c>
      <c r="L8" s="13" t="str">
        <f>Games!H4</f>
        <v>KF Heros 1</v>
      </c>
      <c r="M8" s="13" t="str">
        <f>Games!L4</f>
        <v>BHV Tigers</v>
      </c>
      <c r="O8" s="31" t="s">
        <v>207</v>
      </c>
      <c r="P8" s="15" t="str">
        <f>Games!H15</f>
        <v>Norrköping Rhinos </v>
      </c>
      <c r="Q8" s="15" t="str">
        <f>Games!L15</f>
        <v>IFAH 2</v>
      </c>
    </row>
    <row r="9" spans="1:18" ht="15.6" x14ac:dyDescent="0.3">
      <c r="A9" s="9">
        <v>0.59375</v>
      </c>
      <c r="C9" s="31" t="s">
        <v>206</v>
      </c>
      <c r="D9" s="14" t="str">
        <f>Games!B9</f>
        <v>BHV Lions </v>
      </c>
      <c r="E9" s="14" t="str">
        <f>Games!F9</f>
        <v>Arendal </v>
      </c>
      <c r="G9" s="31" t="s">
        <v>206</v>
      </c>
      <c r="H9" s="14" t="str">
        <f>Games!H9</f>
        <v>Gårslev </v>
      </c>
      <c r="I9" s="14" t="str">
        <f>Games!L9</f>
        <v>FIFH Malmö 1</v>
      </c>
      <c r="K9" s="31" t="s">
        <v>208</v>
      </c>
      <c r="L9" s="16" t="str">
        <f>Games!B20</f>
        <v>Gårslev 2 </v>
      </c>
      <c r="M9" s="16" t="str">
        <f>Games!F20</f>
        <v>KF Heros 2</v>
      </c>
      <c r="O9" s="31" t="s">
        <v>209</v>
      </c>
      <c r="P9" s="11" t="str">
        <f>Games!B27</f>
        <v>Alberta 1</v>
      </c>
      <c r="Q9" s="11" t="str">
        <f>Games!F27</f>
        <v>Ontario </v>
      </c>
    </row>
    <row r="10" spans="1:18" ht="15.6" x14ac:dyDescent="0.3">
      <c r="A10" s="9">
        <v>0.625</v>
      </c>
      <c r="C10" s="31" t="s">
        <v>207</v>
      </c>
      <c r="D10" s="15" t="str">
        <f>Games!B16</f>
        <v>Aabenraa 2 </v>
      </c>
      <c r="E10" s="15" t="str">
        <f>Games!F16</f>
        <v>Norrköping Rhinos </v>
      </c>
      <c r="G10" s="31" t="s">
        <v>207</v>
      </c>
      <c r="H10" s="15" t="str">
        <f>Games!H16</f>
        <v>IFAH 2</v>
      </c>
      <c r="I10" s="15" t="str">
        <f>Games!L16</f>
        <v>Lilleström </v>
      </c>
      <c r="K10" s="31" t="s">
        <v>208</v>
      </c>
      <c r="L10" s="16" t="str">
        <f>Games!H20</f>
        <v>Umeå Wolfs</v>
      </c>
      <c r="M10" s="16" t="str">
        <f>Games!L20</f>
        <v>FIFH Malmö 2 </v>
      </c>
      <c r="O10" s="31" t="s">
        <v>209</v>
      </c>
      <c r="P10" s="11" t="str">
        <f>Games!H27</f>
        <v>Eskilstuna Tanks</v>
      </c>
      <c r="Q10" s="11" t="str">
        <f>Games!L27</f>
        <v>Boston 2</v>
      </c>
    </row>
    <row r="11" spans="1:18" ht="15.6" x14ac:dyDescent="0.3">
      <c r="A11" s="9">
        <v>0.65625</v>
      </c>
      <c r="C11" s="31" t="s">
        <v>210</v>
      </c>
      <c r="D11" s="12" t="str">
        <f>Games!B32</f>
        <v>IFAH 3</v>
      </c>
      <c r="E11" s="12" t="str">
        <f>Games!F32</f>
        <v>FIFH Malmö 3 </v>
      </c>
      <c r="G11" s="31" t="s">
        <v>193</v>
      </c>
      <c r="H11" s="13" t="str">
        <f>Games!H5</f>
        <v>BHV Tigers</v>
      </c>
      <c r="I11" s="13" t="str">
        <f>Games!L5</f>
        <v>Aabenraa</v>
      </c>
      <c r="K11" s="31" t="s">
        <v>193</v>
      </c>
      <c r="L11" s="13" t="str">
        <f>Games!B5</f>
        <v>IFAH 1</v>
      </c>
      <c r="M11" s="13" t="str">
        <f>Games!F5</f>
        <v>KF Heros 1</v>
      </c>
      <c r="O11" s="31" t="s">
        <v>210</v>
      </c>
      <c r="P11" s="12" t="str">
        <f>Games!H32</f>
        <v>Alberta 2</v>
      </c>
      <c r="Q11" s="12" t="str">
        <f>Games!L32</f>
        <v>Boston 1</v>
      </c>
    </row>
    <row r="12" spans="1:18" ht="15.6" x14ac:dyDescent="0.3">
      <c r="A12" s="9">
        <v>0.6875</v>
      </c>
      <c r="C12" s="31" t="s">
        <v>206</v>
      </c>
      <c r="D12" s="14" t="str">
        <f>Games!B10</f>
        <v>BHV Lions </v>
      </c>
      <c r="E12" s="14" t="str">
        <f>Games!F10</f>
        <v>Gårslev </v>
      </c>
      <c r="G12" s="31" t="s">
        <v>206</v>
      </c>
      <c r="H12" s="14" t="str">
        <f>Games!H10</f>
        <v>FIFH Malmö 1</v>
      </c>
      <c r="I12" s="14" t="str">
        <f>Games!L10</f>
        <v>Arendal </v>
      </c>
      <c r="K12" s="31" t="s">
        <v>208</v>
      </c>
      <c r="L12" s="16" t="str">
        <f>Games!H21</f>
        <v>FIFH Malmö 2 </v>
      </c>
      <c r="M12" s="16" t="str">
        <f>Games!L21</f>
        <v>KF Heros 2</v>
      </c>
      <c r="O12" s="31" t="s">
        <v>208</v>
      </c>
      <c r="P12" s="16" t="str">
        <f>Games!B21</f>
        <v>Gårslev 2 </v>
      </c>
      <c r="Q12" s="16" t="str">
        <f>Games!F21</f>
        <v>Umeå Wolfs</v>
      </c>
    </row>
    <row r="13" spans="1:18" ht="15.6" x14ac:dyDescent="0.3">
      <c r="A13" s="9">
        <v>0.72916666666666663</v>
      </c>
      <c r="B13" s="42" t="s">
        <v>136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ht="15.6" x14ac:dyDescent="0.3">
      <c r="A14" s="9"/>
    </row>
    <row r="15" spans="1:18" ht="15.6" x14ac:dyDescent="0.3">
      <c r="A15" s="9" t="s">
        <v>137</v>
      </c>
    </row>
    <row r="16" spans="1:18" ht="15.6" x14ac:dyDescent="0.3">
      <c r="A16" s="9">
        <v>0.375</v>
      </c>
      <c r="C16" s="31" t="s">
        <v>215</v>
      </c>
      <c r="D16" s="28" t="str">
        <f>Games!R25</f>
        <v>GB 1</v>
      </c>
      <c r="E16" s="28" t="str">
        <f>Games!V25</f>
        <v>GA 2</v>
      </c>
      <c r="G16" s="31" t="s">
        <v>216</v>
      </c>
      <c r="H16" s="28" t="str">
        <f>Games!R24</f>
        <v>GA 1</v>
      </c>
      <c r="I16" s="28" t="str">
        <f>Games!V24</f>
        <v>GB 2</v>
      </c>
      <c r="K16" s="31" t="s">
        <v>217</v>
      </c>
      <c r="L16" s="30" t="str">
        <f>Games!R15</f>
        <v>GA 2</v>
      </c>
      <c r="M16" s="30" t="str">
        <f>Games!V15</f>
        <v>GB 3</v>
      </c>
      <c r="O16" s="31" t="s">
        <v>218</v>
      </c>
      <c r="P16" s="30" t="str">
        <f>Games!R13</f>
        <v>GA 1</v>
      </c>
      <c r="Q16" s="30" t="str">
        <f>Games!V13</f>
        <v>GB 4</v>
      </c>
    </row>
    <row r="17" spans="1:17" ht="15.6" x14ac:dyDescent="0.3">
      <c r="A17" s="9">
        <v>0.40625</v>
      </c>
      <c r="C17" s="31" t="s">
        <v>219</v>
      </c>
      <c r="D17" s="27" t="str">
        <f>Games!R31</f>
        <v>GB 3</v>
      </c>
      <c r="E17" s="27" t="str">
        <f>Games!V31</f>
        <v>GA 4</v>
      </c>
      <c r="G17" s="31" t="s">
        <v>220</v>
      </c>
      <c r="H17" s="27" t="str">
        <f>Games!R30</f>
        <v>GA 3</v>
      </c>
      <c r="I17" s="27" t="str">
        <f>Games!V30</f>
        <v>GB 4</v>
      </c>
      <c r="K17" s="31" t="s">
        <v>221</v>
      </c>
      <c r="L17" s="30" t="str">
        <f>Games!R16</f>
        <v>GB 2</v>
      </c>
      <c r="M17" s="30" t="str">
        <f>Games!V16</f>
        <v>GA 3</v>
      </c>
      <c r="O17" s="31" t="s">
        <v>222</v>
      </c>
      <c r="P17" s="30" t="str">
        <f>Games!R14</f>
        <v>GB 1</v>
      </c>
      <c r="Q17" s="30" t="str">
        <f>Games!V14</f>
        <v>GA 4</v>
      </c>
    </row>
    <row r="18" spans="1:17" ht="15.6" x14ac:dyDescent="0.3">
      <c r="A18" s="9">
        <v>0.4375</v>
      </c>
      <c r="C18" s="31" t="s">
        <v>223</v>
      </c>
      <c r="D18" s="30" t="str">
        <f>Games!AA16</f>
        <v>L QF 1</v>
      </c>
      <c r="E18" s="30" t="str">
        <f>Games!AE16</f>
        <v>L QF 3</v>
      </c>
      <c r="G18" s="31" t="s">
        <v>224</v>
      </c>
      <c r="H18" s="30" t="str">
        <f>Games!AA13</f>
        <v>W QF 1</v>
      </c>
      <c r="I18" s="30" t="str">
        <f>Games!AE13</f>
        <v>W QF 3</v>
      </c>
      <c r="K18" s="31" t="s">
        <v>225</v>
      </c>
      <c r="L18" s="29" t="str">
        <f>Games!R4</f>
        <v>GA 2</v>
      </c>
      <c r="M18" s="29" t="str">
        <f>Games!V4</f>
        <v>GB 3</v>
      </c>
      <c r="O18" s="31" t="s">
        <v>226</v>
      </c>
      <c r="P18" s="29" t="str">
        <f>Games!R2</f>
        <v>GA 1</v>
      </c>
      <c r="Q18" s="29" t="str">
        <f>Games!V2</f>
        <v>GB 4</v>
      </c>
    </row>
    <row r="19" spans="1:17" ht="15.6" x14ac:dyDescent="0.3">
      <c r="A19" s="9">
        <v>0.46875</v>
      </c>
      <c r="C19" s="31" t="s">
        <v>227</v>
      </c>
      <c r="D19" s="30" t="str">
        <f>Games!AA17</f>
        <v>L QF 2</v>
      </c>
      <c r="E19" s="30" t="str">
        <f>Games!AE17</f>
        <v>L QF 4</v>
      </c>
      <c r="G19" s="31" t="s">
        <v>228</v>
      </c>
      <c r="H19" s="30" t="str">
        <f>Games!AA14</f>
        <v>W QF 2</v>
      </c>
      <c r="I19" s="30" t="str">
        <f>Games!AE14</f>
        <v>W QF 4</v>
      </c>
      <c r="K19" s="31" t="s">
        <v>229</v>
      </c>
      <c r="L19" s="29" t="str">
        <f>Games!R3</f>
        <v>GB 1</v>
      </c>
      <c r="M19" s="29" t="str">
        <f>Games!V3</f>
        <v>GA 4</v>
      </c>
      <c r="O19" s="31" t="s">
        <v>230</v>
      </c>
      <c r="P19" s="29" t="str">
        <f>Games!R5</f>
        <v>GB 2</v>
      </c>
      <c r="Q19" s="29" t="str">
        <f>Games!V5</f>
        <v>GA 3</v>
      </c>
    </row>
    <row r="20" spans="1:17" ht="15.6" x14ac:dyDescent="0.3">
      <c r="A20" s="9">
        <v>0.5</v>
      </c>
      <c r="C20" s="31" t="s">
        <v>231</v>
      </c>
      <c r="D20" s="29" t="str">
        <f>Games!AA5</f>
        <v>L QF 1</v>
      </c>
      <c r="E20" s="29" t="str">
        <f>Games!AE5</f>
        <v>L QF 3</v>
      </c>
      <c r="G20" s="31" t="s">
        <v>232</v>
      </c>
      <c r="H20" s="29" t="str">
        <f>Games!AA2</f>
        <v>W QF 1</v>
      </c>
      <c r="I20" s="29" t="str">
        <f>Games!AE2</f>
        <v>W QF 3</v>
      </c>
      <c r="L20" s="42" t="s">
        <v>135</v>
      </c>
      <c r="M20" s="42"/>
      <c r="P20" s="42" t="s">
        <v>135</v>
      </c>
      <c r="Q20" s="42"/>
    </row>
    <row r="21" spans="1:17" ht="15.6" x14ac:dyDescent="0.3">
      <c r="A21" s="9">
        <v>0.53125</v>
      </c>
      <c r="D21" s="42" t="s">
        <v>135</v>
      </c>
      <c r="E21" s="42"/>
      <c r="H21" s="42" t="s">
        <v>135</v>
      </c>
      <c r="I21" s="42"/>
      <c r="K21" s="31" t="s">
        <v>233</v>
      </c>
      <c r="L21" s="29" t="str">
        <f>Games!AA6</f>
        <v>L QF 2</v>
      </c>
      <c r="M21" s="29" t="str">
        <f>Games!AE6</f>
        <v>L QF 4</v>
      </c>
      <c r="O21" s="31" t="s">
        <v>232</v>
      </c>
      <c r="P21" s="29" t="str">
        <f>Games!AA3</f>
        <v>W QF 2</v>
      </c>
      <c r="Q21" s="29" t="str">
        <f>Games!AE3</f>
        <v>W QF 4</v>
      </c>
    </row>
    <row r="22" spans="1:17" ht="15.6" x14ac:dyDescent="0.3">
      <c r="A22" s="9">
        <v>0.5625</v>
      </c>
      <c r="C22" s="31" t="s">
        <v>234</v>
      </c>
      <c r="D22" s="28" t="str">
        <f>Games!AA25</f>
        <v>L SF 1</v>
      </c>
      <c r="E22" s="28" t="str">
        <f>Games!AE25</f>
        <v>L SF 2</v>
      </c>
      <c r="G22" s="31" t="s">
        <v>235</v>
      </c>
      <c r="H22" s="27" t="str">
        <f>Games!AA31</f>
        <v>L SF 1</v>
      </c>
      <c r="I22" s="27" t="str">
        <f>Games!AE31</f>
        <v>L SF 2</v>
      </c>
      <c r="K22" s="31" t="s">
        <v>236</v>
      </c>
      <c r="L22" s="30" t="str">
        <f>Games!AJ16</f>
        <v>W PQ 1</v>
      </c>
      <c r="M22" s="30" t="str">
        <f>Games!AN16</f>
        <v>W PQ 2</v>
      </c>
      <c r="O22" s="31" t="s">
        <v>237</v>
      </c>
      <c r="P22" s="30" t="str">
        <f>Games!AJ17</f>
        <v>L PQ 1</v>
      </c>
      <c r="Q22" s="30" t="str">
        <f>Games!AN17</f>
        <v>L PQ 2</v>
      </c>
    </row>
    <row r="23" spans="1:17" ht="15.6" x14ac:dyDescent="0.3">
      <c r="A23" s="9">
        <v>0.60416666666666663</v>
      </c>
      <c r="C23" s="31" t="s">
        <v>238</v>
      </c>
      <c r="D23" s="28" t="str">
        <f>Games!AA24</f>
        <v>W SF 1</v>
      </c>
      <c r="E23" s="28" t="str">
        <f>Games!AE24</f>
        <v>W SF 2</v>
      </c>
      <c r="G23" s="31" t="s">
        <v>239</v>
      </c>
      <c r="H23" s="27" t="str">
        <f>Games!AA30</f>
        <v>W SF 1</v>
      </c>
      <c r="I23" s="27" t="str">
        <f>Games!AE30</f>
        <v>W SF 2</v>
      </c>
      <c r="K23" s="31" t="s">
        <v>240</v>
      </c>
      <c r="L23" s="29" t="str">
        <f>Games!AJ5</f>
        <v>W PQ 1</v>
      </c>
      <c r="M23" s="29" t="str">
        <f>Games!AN5</f>
        <v>W PQ 2</v>
      </c>
      <c r="O23" s="31" t="s">
        <v>241</v>
      </c>
      <c r="P23" s="29" t="str">
        <f>Games!AJ6</f>
        <v>L PQ 1</v>
      </c>
      <c r="Q23" s="29" t="str">
        <f>Games!AN6</f>
        <v>L PQ 2</v>
      </c>
    </row>
    <row r="24" spans="1:17" ht="15.6" x14ac:dyDescent="0.3">
      <c r="A24" s="9">
        <v>0.64583333333333337</v>
      </c>
      <c r="C24" s="31" t="s">
        <v>242</v>
      </c>
      <c r="D24" s="30" t="str">
        <f>Games!AJ13</f>
        <v>W SF 1</v>
      </c>
      <c r="E24" s="30" t="str">
        <f>Games!AN13</f>
        <v>W SF 2</v>
      </c>
      <c r="G24" s="31" t="s">
        <v>243</v>
      </c>
      <c r="H24" s="29" t="str">
        <f>Games!AJ3</f>
        <v>L SF 1</v>
      </c>
      <c r="I24" s="29" t="str">
        <f>Games!AN3</f>
        <v>L SF 2</v>
      </c>
    </row>
    <row r="25" spans="1:17" ht="15.6" x14ac:dyDescent="0.3">
      <c r="A25" s="9">
        <v>0.6875</v>
      </c>
      <c r="C25" s="31" t="s">
        <v>244</v>
      </c>
      <c r="D25" s="29" t="str">
        <f>Games!AJ2</f>
        <v>W SF 1</v>
      </c>
      <c r="E25" s="29" t="str">
        <f>Games!AN2</f>
        <v>W SF 2</v>
      </c>
      <c r="G25" s="31" t="s">
        <v>245</v>
      </c>
      <c r="H25" s="30" t="str">
        <f>Games!AJ14</f>
        <v>L SF 1</v>
      </c>
      <c r="I25" s="30" t="str">
        <f>Games!AN14</f>
        <v>L SF 2</v>
      </c>
    </row>
    <row r="26" spans="1:17" ht="15.6" x14ac:dyDescent="0.3">
      <c r="A26" s="9"/>
    </row>
  </sheetData>
  <mergeCells count="14">
    <mergeCell ref="L6:M6"/>
    <mergeCell ref="P6:Q6"/>
    <mergeCell ref="D7:E7"/>
    <mergeCell ref="H7:I7"/>
    <mergeCell ref="D1:E1"/>
    <mergeCell ref="H1:I1"/>
    <mergeCell ref="L1:M1"/>
    <mergeCell ref="P1:Q1"/>
    <mergeCell ref="B2:R2"/>
    <mergeCell ref="B13:R13"/>
    <mergeCell ref="D21:E21"/>
    <mergeCell ref="H21:I21"/>
    <mergeCell ref="L20:M20"/>
    <mergeCell ref="P20:Q20"/>
  </mergeCells>
  <phoneticPr fontId="3" type="noConversion"/>
  <pageMargins left="0.7" right="0.7" top="0.75" bottom="0.75" header="0.3" footer="0.3"/>
  <pageSetup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6748-93AB-49BA-A9EC-E43EB7A015FE}">
  <dimension ref="A1:AY47"/>
  <sheetViews>
    <sheetView zoomScale="83" workbookViewId="0">
      <selection activeCell="U26" sqref="U26"/>
    </sheetView>
  </sheetViews>
  <sheetFormatPr defaultRowHeight="14.4" x14ac:dyDescent="0.3"/>
  <cols>
    <col min="1" max="1" width="6.6640625" bestFit="1" customWidth="1"/>
    <col min="2" max="2" width="2" bestFit="1" customWidth="1"/>
    <col min="3" max="3" width="18.109375" bestFit="1" customWidth="1"/>
    <col min="4" max="4" width="11.33203125" bestFit="1" customWidth="1"/>
    <col min="5" max="5" width="18.109375" bestFit="1" customWidth="1"/>
    <col min="6" max="6" width="18.109375" style="10" bestFit="1" customWidth="1"/>
    <col min="7" max="7" width="16.88671875" style="10" bestFit="1" customWidth="1"/>
    <col min="8" max="8" width="5.6640625" customWidth="1"/>
    <col min="9" max="9" width="15.44140625" bestFit="1" customWidth="1"/>
    <col min="10" max="10" width="13.5546875" bestFit="1" customWidth="1"/>
    <col min="11" max="11" width="18.109375" bestFit="1" customWidth="1"/>
    <col min="12" max="12" width="18.109375" style="10" bestFit="1" customWidth="1"/>
    <col min="13" max="13" width="15.88671875" style="10" bestFit="1" customWidth="1"/>
    <col min="14" max="14" width="5.6640625" customWidth="1"/>
    <col min="15" max="15" width="15.44140625" bestFit="1" customWidth="1"/>
    <col min="16" max="16" width="12" bestFit="1" customWidth="1"/>
    <col min="17" max="17" width="18.109375" bestFit="1" customWidth="1"/>
    <col min="18" max="19" width="18.109375" style="10" bestFit="1" customWidth="1"/>
    <col min="20" max="20" width="5.6640625" customWidth="1"/>
    <col min="21" max="21" width="15.44140625" bestFit="1" customWidth="1"/>
    <col min="22" max="22" width="18.109375" bestFit="1" customWidth="1"/>
    <col min="23" max="23" width="13.5546875" bestFit="1" customWidth="1"/>
    <col min="24" max="24" width="18.109375" style="10" bestFit="1" customWidth="1"/>
    <col min="25" max="25" width="16.88671875" style="10" bestFit="1" customWidth="1"/>
    <col min="26" max="26" width="18.109375" hidden="1" customWidth="1"/>
    <col min="27" max="27" width="16.88671875" hidden="1" customWidth="1"/>
    <col min="28" max="28" width="18.109375" hidden="1" customWidth="1"/>
    <col min="29" max="29" width="16.88671875" hidden="1" customWidth="1"/>
    <col min="30" max="30" width="18.109375" hidden="1" customWidth="1"/>
    <col min="31" max="31" width="15.109375" hidden="1" customWidth="1"/>
    <col min="32" max="32" width="18.109375" hidden="1" customWidth="1"/>
    <col min="33" max="33" width="16.88671875" hidden="1" customWidth="1"/>
    <col min="34" max="37" width="18.109375" hidden="1" customWidth="1"/>
    <col min="38" max="39" width="15.88671875" hidden="1" customWidth="1"/>
    <col min="40" max="41" width="18.109375" bestFit="1" customWidth="1"/>
    <col min="42" max="42" width="16.88671875" bestFit="1" customWidth="1"/>
    <col min="43" max="43" width="18.109375" bestFit="1" customWidth="1"/>
    <col min="44" max="47" width="15.88671875" bestFit="1" customWidth="1"/>
    <col min="48" max="49" width="15.5546875" bestFit="1" customWidth="1"/>
    <col min="50" max="52" width="14.5546875" bestFit="1" customWidth="1"/>
    <col min="53" max="55" width="13.88671875" bestFit="1" customWidth="1"/>
  </cols>
  <sheetData>
    <row r="1" spans="1:51" ht="15.6" x14ac:dyDescent="0.3">
      <c r="A1" s="1" t="s">
        <v>122</v>
      </c>
      <c r="C1" s="31" t="s">
        <v>214</v>
      </c>
      <c r="D1" s="40" t="s">
        <v>123</v>
      </c>
      <c r="E1" s="41"/>
      <c r="F1" s="10" t="s">
        <v>170</v>
      </c>
      <c r="G1" s="10" t="s">
        <v>171</v>
      </c>
      <c r="I1" s="31" t="s">
        <v>214</v>
      </c>
      <c r="J1" s="40" t="s">
        <v>124</v>
      </c>
      <c r="K1" s="41"/>
      <c r="L1" s="10" t="s">
        <v>170</v>
      </c>
      <c r="M1" s="10" t="s">
        <v>171</v>
      </c>
      <c r="O1" s="31" t="s">
        <v>214</v>
      </c>
      <c r="P1" s="40" t="s">
        <v>125</v>
      </c>
      <c r="Q1" s="41"/>
      <c r="R1" s="10" t="s">
        <v>170</v>
      </c>
      <c r="S1" s="10" t="s">
        <v>171</v>
      </c>
      <c r="U1" s="31" t="s">
        <v>214</v>
      </c>
      <c r="V1" s="40" t="s">
        <v>126</v>
      </c>
      <c r="W1" s="41"/>
      <c r="X1" s="10" t="s">
        <v>170</v>
      </c>
      <c r="Y1" s="10" t="s">
        <v>171</v>
      </c>
    </row>
    <row r="2" spans="1:51" ht="15.6" x14ac:dyDescent="0.3">
      <c r="A2" s="9">
        <v>0.36458333333333331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51" ht="15.6" x14ac:dyDescent="0.3">
      <c r="A3" s="9">
        <v>0.40625</v>
      </c>
      <c r="B3">
        <f>COUNTIF(_xlfn.ANCHORARRAY(Z3),0)</f>
        <v>0</v>
      </c>
      <c r="C3" s="31" t="s">
        <v>193</v>
      </c>
      <c r="D3" s="13" t="str">
        <f>Games!B3</f>
        <v>IFAH 1</v>
      </c>
      <c r="E3" s="13" t="str">
        <f>Games!F3</f>
        <v>BHV Tigers</v>
      </c>
      <c r="F3" s="17" t="s">
        <v>176</v>
      </c>
      <c r="G3" s="17" t="s">
        <v>181</v>
      </c>
      <c r="H3" s="38"/>
      <c r="I3" s="31" t="s">
        <v>207</v>
      </c>
      <c r="J3" s="15" t="str">
        <f>Games!B14</f>
        <v>Aabenraa 2 </v>
      </c>
      <c r="K3" s="15" t="str">
        <f>Games!F14</f>
        <v>IFAH 2</v>
      </c>
      <c r="L3" s="17" t="s">
        <v>177</v>
      </c>
      <c r="M3" s="17" t="s">
        <v>183</v>
      </c>
      <c r="N3" s="38"/>
      <c r="O3" s="31" t="s">
        <v>209</v>
      </c>
      <c r="P3" s="11" t="str">
        <f>Games!B25</f>
        <v>Alberta 1</v>
      </c>
      <c r="Q3" s="11" t="str">
        <f>Games!F25</f>
        <v>Eskilstuna Tanks</v>
      </c>
      <c r="R3" s="17" t="s">
        <v>175</v>
      </c>
      <c r="S3" s="17" t="s">
        <v>173</v>
      </c>
      <c r="T3" s="38"/>
      <c r="U3" s="31" t="s">
        <v>209</v>
      </c>
      <c r="V3" s="11" t="str">
        <f>Games!H25</f>
        <v>Boston 2</v>
      </c>
      <c r="W3" s="11" t="str">
        <f>Games!L25</f>
        <v>Ontario </v>
      </c>
      <c r="X3" s="10" t="s">
        <v>180</v>
      </c>
      <c r="Y3" s="10" t="s">
        <v>182</v>
      </c>
      <c r="Z3" t="str" cm="1">
        <f t="array" ref="Z3:AG3">_xlfn.HSTACK(F3:G3,L3:M3,R3:S3,X3:Y3)</f>
        <v>Kristoffer Stormark</v>
      </c>
      <c r="AA3" t="str">
        <v>Inge Haukom</v>
      </c>
      <c r="AB3" t="str">
        <v>Jörgen Johannsen</v>
      </c>
      <c r="AC3" t="str">
        <v>Elias Parment</v>
      </c>
      <c r="AD3" t="str">
        <v>Reine Schröder</v>
      </c>
      <c r="AE3" t="str">
        <v>Magnus Undén</v>
      </c>
      <c r="AF3" t="str">
        <v>Andreas Sjöberg</v>
      </c>
      <c r="AG3" t="str">
        <v>Oliver Parment</v>
      </c>
      <c r="AN3" t="str" cm="1">
        <f t="array" ref="AN3:AU3">TRANSPOSE(_xlfn._xlws.FILTER($C$32:$C$47,COUNTIF(_xlfn.ANCHORARRAY(Z3),$C$32:$C$47)=0))</f>
        <v>Espen Hoff</v>
      </c>
      <c r="AO3" t="str">
        <v>Jim A.Nymoen</v>
      </c>
      <c r="AP3" t="str">
        <v>Jonas Örevik</v>
      </c>
      <c r="AQ3" t="str">
        <v>Håkan Elveljung</v>
      </c>
      <c r="AR3" t="str">
        <v>Thomas Karlsson</v>
      </c>
      <c r="AS3" t="str">
        <v>Håkan Norberg</v>
      </c>
      <c r="AT3" t="str">
        <v>SJUK (RM)</v>
      </c>
      <c r="AU3" t="str">
        <v>Mats Fernlund</v>
      </c>
    </row>
    <row r="4" spans="1:51" ht="15.6" x14ac:dyDescent="0.3">
      <c r="A4" s="9">
        <v>0.4375</v>
      </c>
      <c r="B4">
        <f t="shared" ref="B4:B12" si="0">COUNTIF(_xlfn.ANCHORARRAY(Z4),0)</f>
        <v>0</v>
      </c>
      <c r="C4" s="31" t="s">
        <v>193</v>
      </c>
      <c r="D4" s="13" t="str">
        <f>Games!H3</f>
        <v>Aabenraa</v>
      </c>
      <c r="E4" s="13" t="str">
        <f>Games!L3</f>
        <v>KF Heros 1</v>
      </c>
      <c r="F4" s="17" t="s">
        <v>176</v>
      </c>
      <c r="G4" s="17" t="s">
        <v>180</v>
      </c>
      <c r="H4" s="38"/>
      <c r="I4" s="31" t="s">
        <v>207</v>
      </c>
      <c r="J4" s="15" t="str">
        <f>Games!H14</f>
        <v>Lilleström </v>
      </c>
      <c r="K4" s="15" t="str">
        <f>Games!L14</f>
        <v>Norrköping Rhinos </v>
      </c>
      <c r="L4" s="17" t="s">
        <v>172</v>
      </c>
      <c r="M4" s="17" t="s">
        <v>184</v>
      </c>
      <c r="N4" s="38"/>
      <c r="O4" s="31" t="s">
        <v>210</v>
      </c>
      <c r="P4" s="12" t="str">
        <f>Games!B30</f>
        <v>IFAH 3</v>
      </c>
      <c r="Q4" s="12" t="str">
        <f>Games!F30</f>
        <v>Alberta 2</v>
      </c>
      <c r="R4" s="17" t="s">
        <v>175</v>
      </c>
      <c r="S4" s="17" t="s">
        <v>173</v>
      </c>
      <c r="T4" s="38"/>
      <c r="U4" s="31" t="s">
        <v>210</v>
      </c>
      <c r="V4" s="12" t="str">
        <f>Games!H30</f>
        <v>Boston 1</v>
      </c>
      <c r="W4" s="12" t="str">
        <f>Games!L30</f>
        <v>FIFH Malmö 3 </v>
      </c>
      <c r="X4" s="10" t="s">
        <v>182</v>
      </c>
      <c r="Y4" s="10" t="s">
        <v>174</v>
      </c>
      <c r="Z4" t="str" cm="1">
        <f t="array" ref="Z4:AG4">_xlfn.HSTACK(F4:G4,L4:M4,R4:S4,X4:Y4)</f>
        <v>Kristoffer Stormark</v>
      </c>
      <c r="AA4" t="str">
        <v>Andreas Sjöberg</v>
      </c>
      <c r="AB4" t="str">
        <v>Espen Hoff</v>
      </c>
      <c r="AC4" t="str">
        <v>Jim A.Nymoen</v>
      </c>
      <c r="AD4" t="str">
        <v>Reine Schröder</v>
      </c>
      <c r="AE4" t="str">
        <v>Magnus Undén</v>
      </c>
      <c r="AF4" t="str">
        <v>Oliver Parment</v>
      </c>
      <c r="AG4" t="str">
        <v>Mats Fernlund</v>
      </c>
      <c r="AN4" t="str" cm="1">
        <f t="array" ref="AN4:AU4">TRANSPOSE(_xlfn._xlws.FILTER($C$32:$C$47,COUNTIF(_xlfn.ANCHORARRAY(Z4),$C$32:$C$47)=0))</f>
        <v>Jörgen Johannsen</v>
      </c>
      <c r="AO4" t="str">
        <v>Jonas Örevik</v>
      </c>
      <c r="AP4" t="str">
        <v>Håkan Elveljung</v>
      </c>
      <c r="AQ4" t="str">
        <v>Inge Haukom</v>
      </c>
      <c r="AR4" t="str">
        <v>Thomas Karlsson</v>
      </c>
      <c r="AS4" t="str">
        <v>Håkan Norberg</v>
      </c>
      <c r="AT4" t="str">
        <v>Elias Parment</v>
      </c>
      <c r="AU4" t="str">
        <v>SJUK (RM)</v>
      </c>
    </row>
    <row r="5" spans="1:51" ht="15.6" x14ac:dyDescent="0.3">
      <c r="A5" s="9">
        <v>0.46875</v>
      </c>
      <c r="B5">
        <f t="shared" si="0"/>
        <v>0</v>
      </c>
      <c r="C5" s="31" t="s">
        <v>208</v>
      </c>
      <c r="D5" s="16" t="str">
        <f>Games!B19</f>
        <v>Gårslev 2 </v>
      </c>
      <c r="E5" s="16" t="str">
        <f>Games!F19</f>
        <v>FIFH Malmö 2 </v>
      </c>
      <c r="F5" s="17" t="s">
        <v>175</v>
      </c>
      <c r="G5" s="17" t="s">
        <v>173</v>
      </c>
      <c r="H5" s="38"/>
      <c r="I5" s="31" t="s">
        <v>208</v>
      </c>
      <c r="J5" s="16" t="str">
        <f>Games!H19</f>
        <v>KF Heros 2</v>
      </c>
      <c r="K5" s="16" t="str">
        <f>Games!L19</f>
        <v>Umeå Wolfs</v>
      </c>
      <c r="L5" s="17" t="s">
        <v>183</v>
      </c>
      <c r="M5" s="17" t="s">
        <v>182</v>
      </c>
      <c r="N5" s="38"/>
      <c r="O5" s="31" t="s">
        <v>206</v>
      </c>
      <c r="P5" s="14" t="str">
        <f>Games!B8</f>
        <v>BHV Lions </v>
      </c>
      <c r="Q5" s="14" t="str">
        <f>Games!F8</f>
        <v>FIFH Malmö 1</v>
      </c>
      <c r="R5" s="17" t="s">
        <v>177</v>
      </c>
      <c r="S5" s="10" t="s">
        <v>178</v>
      </c>
      <c r="T5" s="38"/>
      <c r="U5" s="31" t="s">
        <v>206</v>
      </c>
      <c r="V5" s="14" t="str">
        <f>Games!H8</f>
        <v>Arendal </v>
      </c>
      <c r="W5" s="14" t="str">
        <f>Games!L8</f>
        <v>Gårslev </v>
      </c>
      <c r="X5" s="17" t="s">
        <v>179</v>
      </c>
      <c r="Y5" s="10" t="s">
        <v>184</v>
      </c>
      <c r="Z5" t="str" cm="1">
        <f t="array" ref="Z5:AG5">_xlfn.HSTACK(F5:G5,L5:M5,R5:S5,X5:Y5)</f>
        <v>Reine Schröder</v>
      </c>
      <c r="AA5" t="str">
        <v>Magnus Undén</v>
      </c>
      <c r="AB5" t="str">
        <v>Elias Parment</v>
      </c>
      <c r="AC5" t="str">
        <v>Oliver Parment</v>
      </c>
      <c r="AD5" t="str">
        <v>Jörgen Johannsen</v>
      </c>
      <c r="AE5" t="str">
        <v>Håkan Elveljung</v>
      </c>
      <c r="AF5" t="str">
        <v>Jonas Örevik</v>
      </c>
      <c r="AG5" t="str">
        <v>Jim A.Nymoen</v>
      </c>
      <c r="AN5" t="str" cm="1">
        <f t="array" ref="AN5:AU5">TRANSPOSE(_xlfn._xlws.FILTER($C$32:$C$47,COUNTIF(_xlfn.ANCHORARRAY(Z5),$C$32:$C$47)=0))</f>
        <v>Espen Hoff</v>
      </c>
      <c r="AO5" t="str">
        <v>Kristoffer Stormark</v>
      </c>
      <c r="AP5" t="str">
        <v>Inge Haukom</v>
      </c>
      <c r="AQ5" t="str">
        <v>Thomas Karlsson</v>
      </c>
      <c r="AR5" t="str">
        <v>Håkan Norberg</v>
      </c>
      <c r="AS5" t="str">
        <v>Andreas Sjöberg</v>
      </c>
      <c r="AT5" t="str">
        <v>SJUK (RM)</v>
      </c>
      <c r="AU5" t="str">
        <v>Mats Fernlund</v>
      </c>
    </row>
    <row r="6" spans="1:51" ht="15.6" x14ac:dyDescent="0.3">
      <c r="A6" s="9">
        <v>0.5</v>
      </c>
      <c r="B6">
        <f>COUNTIF(_xlfn.ANCHORARRAY(Z6),0)-4</f>
        <v>0</v>
      </c>
      <c r="C6" s="31" t="s">
        <v>209</v>
      </c>
      <c r="D6" s="11" t="str">
        <f>Games!B26</f>
        <v>Alberta 1</v>
      </c>
      <c r="E6" s="11" t="str">
        <f>Games!F26</f>
        <v>Boston 2</v>
      </c>
      <c r="F6" s="17" t="s">
        <v>175</v>
      </c>
      <c r="G6" s="17" t="s">
        <v>174</v>
      </c>
      <c r="H6" s="38"/>
      <c r="I6" s="31" t="s">
        <v>209</v>
      </c>
      <c r="J6" s="11" t="str">
        <f>Games!H26</f>
        <v>Ontario </v>
      </c>
      <c r="K6" s="11" t="str">
        <f>Games!L26</f>
        <v>Eskilstuna Tanks</v>
      </c>
      <c r="L6" s="17" t="s">
        <v>183</v>
      </c>
      <c r="M6" s="17" t="s">
        <v>186</v>
      </c>
      <c r="N6" s="38"/>
      <c r="O6" s="31"/>
      <c r="P6" s="42" t="s">
        <v>135</v>
      </c>
      <c r="Q6" s="42"/>
      <c r="R6" s="38"/>
      <c r="S6" s="38"/>
      <c r="T6" s="38"/>
      <c r="U6" s="31"/>
      <c r="V6" s="42" t="s">
        <v>135</v>
      </c>
      <c r="W6" s="42"/>
      <c r="Z6" t="str" cm="1">
        <f t="array" ref="Z6:AG6">_xlfn.HSTACK(F6:G6,L6:M6,R6:S6,X6:Y6)</f>
        <v>Reine Schröder</v>
      </c>
      <c r="AA6" t="str">
        <v>Mats Fernlund</v>
      </c>
      <c r="AB6" t="str">
        <v>Elias Parment</v>
      </c>
      <c r="AC6" t="str">
        <v>Thomas Karlsson</v>
      </c>
      <c r="AD6">
        <v>0</v>
      </c>
      <c r="AE6">
        <v>0</v>
      </c>
      <c r="AF6">
        <v>0</v>
      </c>
      <c r="AG6">
        <v>0</v>
      </c>
      <c r="AN6" t="str" cm="1">
        <f t="array" ref="AN6:AY6">TRANSPOSE(_xlfn._xlws.FILTER($C$32:$C$47,COUNTIF(_xlfn.ANCHORARRAY(Z6),$C$32:$C$47)=0))</f>
        <v>Espen Hoff</v>
      </c>
      <c r="AO6" t="str">
        <v>Jim A.Nymoen</v>
      </c>
      <c r="AP6" t="str">
        <v>Jörgen Johannsen</v>
      </c>
      <c r="AQ6" t="str">
        <v>Kristoffer Stormark</v>
      </c>
      <c r="AR6" t="str">
        <v>Jonas Örevik</v>
      </c>
      <c r="AS6" t="str">
        <v>Håkan Elveljung</v>
      </c>
      <c r="AT6" t="str">
        <v>Inge Haukom</v>
      </c>
      <c r="AU6" t="str">
        <v>Håkan Norberg</v>
      </c>
      <c r="AV6" t="str">
        <v>Andreas Sjöberg</v>
      </c>
      <c r="AW6" t="str">
        <v>Magnus Undén</v>
      </c>
      <c r="AX6" t="str">
        <v>Oliver Parment</v>
      </c>
      <c r="AY6" t="str">
        <v>SJUK (RM)</v>
      </c>
    </row>
    <row r="7" spans="1:51" ht="15.6" x14ac:dyDescent="0.3">
      <c r="A7" s="9">
        <v>0.53125</v>
      </c>
      <c r="B7">
        <f>COUNTIF(_xlfn.ANCHORARRAY(Z7),0)-4</f>
        <v>0</v>
      </c>
      <c r="C7" s="31"/>
      <c r="D7" s="42" t="s">
        <v>135</v>
      </c>
      <c r="E7" s="42"/>
      <c r="F7" s="38"/>
      <c r="G7" s="38"/>
      <c r="H7" s="38"/>
      <c r="I7" s="31"/>
      <c r="J7" s="42" t="s">
        <v>135</v>
      </c>
      <c r="K7" s="42"/>
      <c r="L7" s="17"/>
      <c r="M7" s="17"/>
      <c r="N7" s="38"/>
      <c r="O7" s="31" t="s">
        <v>193</v>
      </c>
      <c r="P7" s="13" t="str">
        <f>Games!B4</f>
        <v>IFAH 1</v>
      </c>
      <c r="Q7" s="13" t="str">
        <f>Games!F4</f>
        <v>Aabenraa</v>
      </c>
      <c r="R7" s="17" t="s">
        <v>176</v>
      </c>
      <c r="S7" s="17" t="s">
        <v>172</v>
      </c>
      <c r="T7" s="38"/>
      <c r="U7" s="31" t="s">
        <v>207</v>
      </c>
      <c r="V7" s="15" t="str">
        <f>Games!B15</f>
        <v>Aabenraa 2 </v>
      </c>
      <c r="W7" s="15" t="str">
        <f>Games!F15</f>
        <v>Lilleström </v>
      </c>
      <c r="X7" s="10" t="s">
        <v>175</v>
      </c>
      <c r="Y7" s="10" t="s">
        <v>183</v>
      </c>
      <c r="Z7" cm="1">
        <f t="array" ref="Z7:AG7">_xlfn.HSTACK(F7:G7,L7:M7,R7:S7,X7:Y7)</f>
        <v>0</v>
      </c>
      <c r="AA7">
        <v>0</v>
      </c>
      <c r="AB7">
        <v>0</v>
      </c>
      <c r="AC7">
        <v>0</v>
      </c>
      <c r="AD7" t="str">
        <v>Kristoffer Stormark</v>
      </c>
      <c r="AE7" t="str">
        <v>Espen Hoff</v>
      </c>
      <c r="AF7" t="str">
        <v>Reine Schröder</v>
      </c>
      <c r="AG7" t="str">
        <v>Elias Parment</v>
      </c>
      <c r="AN7" t="str" cm="1">
        <f t="array" ref="AN7:AY7">TRANSPOSE(_xlfn._xlws.FILTER($C$32:$C$47,COUNTIF(_xlfn.ANCHORARRAY(Z7),$C$32:$C$47)=0))</f>
        <v>Jim A.Nymoen</v>
      </c>
      <c r="AO7" t="str">
        <v>Jörgen Johannsen</v>
      </c>
      <c r="AP7" t="str">
        <v>Jonas Örevik</v>
      </c>
      <c r="AQ7" t="str">
        <v>Håkan Elveljung</v>
      </c>
      <c r="AR7" t="str">
        <v>Inge Haukom</v>
      </c>
      <c r="AS7" t="str">
        <v>Thomas Karlsson</v>
      </c>
      <c r="AT7" t="str">
        <v>Håkan Norberg</v>
      </c>
      <c r="AU7" t="str">
        <v>Andreas Sjöberg</v>
      </c>
      <c r="AV7" t="str">
        <v>Magnus Undén</v>
      </c>
      <c r="AW7" t="str">
        <v>Oliver Parment</v>
      </c>
      <c r="AX7" t="str">
        <v>SJUK (RM)</v>
      </c>
      <c r="AY7" t="str">
        <v>Mats Fernlund</v>
      </c>
    </row>
    <row r="8" spans="1:51" ht="15.6" x14ac:dyDescent="0.3">
      <c r="A8" s="9">
        <v>0.5625</v>
      </c>
      <c r="B8">
        <f t="shared" si="0"/>
        <v>0</v>
      </c>
      <c r="C8" s="31" t="s">
        <v>210</v>
      </c>
      <c r="D8" s="12" t="str">
        <f>Games!B31</f>
        <v>IFAH 3</v>
      </c>
      <c r="E8" s="12" t="str">
        <f>Games!F31</f>
        <v>Boston 1</v>
      </c>
      <c r="F8" s="17" t="s">
        <v>174</v>
      </c>
      <c r="G8" s="17" t="s">
        <v>180</v>
      </c>
      <c r="H8" s="38"/>
      <c r="I8" s="31" t="s">
        <v>210</v>
      </c>
      <c r="J8" s="12" t="str">
        <f>Games!H31</f>
        <v>FIFH Malmö 3 </v>
      </c>
      <c r="K8" s="12" t="str">
        <f>Games!L31</f>
        <v>Alberta 2</v>
      </c>
      <c r="L8" s="17" t="s">
        <v>173</v>
      </c>
      <c r="M8" s="17" t="s">
        <v>182</v>
      </c>
      <c r="N8" s="38"/>
      <c r="O8" s="31" t="s">
        <v>193</v>
      </c>
      <c r="P8" s="13" t="str">
        <f>Games!H4</f>
        <v>KF Heros 1</v>
      </c>
      <c r="Q8" s="13" t="str">
        <f>Games!L4</f>
        <v>BHV Tigers</v>
      </c>
      <c r="R8" s="17" t="s">
        <v>176</v>
      </c>
      <c r="S8" s="17" t="s">
        <v>181</v>
      </c>
      <c r="T8" s="38"/>
      <c r="U8" s="31" t="s">
        <v>207</v>
      </c>
      <c r="V8" s="15" t="str">
        <f>Games!H15</f>
        <v>Norrköping Rhinos </v>
      </c>
      <c r="W8" s="15" t="str">
        <f>Games!L15</f>
        <v>IFAH 2</v>
      </c>
      <c r="X8" s="17" t="s">
        <v>175</v>
      </c>
      <c r="Y8" s="17" t="s">
        <v>183</v>
      </c>
      <c r="Z8" t="str" cm="1">
        <f t="array" ref="Z8:AG8">_xlfn.HSTACK(F8:G8,L8:M8,R8:S8,X8:Y8)</f>
        <v>Mats Fernlund</v>
      </c>
      <c r="AA8" t="str">
        <v>Andreas Sjöberg</v>
      </c>
      <c r="AB8" t="str">
        <v>Magnus Undén</v>
      </c>
      <c r="AC8" t="str">
        <v>Oliver Parment</v>
      </c>
      <c r="AD8" t="str">
        <v>Kristoffer Stormark</v>
      </c>
      <c r="AE8" t="str">
        <v>Inge Haukom</v>
      </c>
      <c r="AF8" t="str">
        <v>Reine Schröder</v>
      </c>
      <c r="AG8" t="str">
        <v>Elias Parment</v>
      </c>
      <c r="AN8" t="str" cm="1">
        <f t="array" ref="AN8:AU8">TRANSPOSE(_xlfn._xlws.FILTER($C$32:$C$47,COUNTIF(_xlfn.ANCHORARRAY(Z8),$C$32:$C$47)=0))</f>
        <v>Espen Hoff</v>
      </c>
      <c r="AO8" t="str">
        <v>Jim A.Nymoen</v>
      </c>
      <c r="AP8" t="str">
        <v>Jörgen Johannsen</v>
      </c>
      <c r="AQ8" t="str">
        <v>Jonas Örevik</v>
      </c>
      <c r="AR8" t="str">
        <v>Håkan Elveljung</v>
      </c>
      <c r="AS8" t="str">
        <v>Thomas Karlsson</v>
      </c>
      <c r="AT8" t="str">
        <v>Håkan Norberg</v>
      </c>
      <c r="AU8" t="str">
        <v>SJUK (RM)</v>
      </c>
    </row>
    <row r="9" spans="1:51" ht="15.6" x14ac:dyDescent="0.3">
      <c r="A9" s="9">
        <v>0.59375</v>
      </c>
      <c r="B9">
        <f t="shared" si="0"/>
        <v>0</v>
      </c>
      <c r="C9" s="31" t="s">
        <v>206</v>
      </c>
      <c r="D9" s="14" t="str">
        <f>Games!B9</f>
        <v>BHV Lions </v>
      </c>
      <c r="E9" s="14" t="str">
        <f>Games!F9</f>
        <v>Arendal </v>
      </c>
      <c r="F9" s="17" t="s">
        <v>177</v>
      </c>
      <c r="G9" s="17" t="s">
        <v>180</v>
      </c>
      <c r="H9" s="38"/>
      <c r="I9" s="31" t="s">
        <v>206</v>
      </c>
      <c r="J9" s="14" t="str">
        <f>Games!H9</f>
        <v>Gårslev </v>
      </c>
      <c r="K9" s="14" t="str">
        <f>Games!L9</f>
        <v>FIFH Malmö 1</v>
      </c>
      <c r="L9" s="17" t="s">
        <v>178</v>
      </c>
      <c r="M9" s="17" t="s">
        <v>184</v>
      </c>
      <c r="N9" s="38"/>
      <c r="O9" s="31" t="s">
        <v>208</v>
      </c>
      <c r="P9" s="16" t="str">
        <f>Games!B20</f>
        <v>Gårslev 2 </v>
      </c>
      <c r="Q9" s="16" t="str">
        <f>Games!F20</f>
        <v>KF Heros 2</v>
      </c>
      <c r="R9" s="17" t="s">
        <v>173</v>
      </c>
      <c r="S9" s="17" t="s">
        <v>182</v>
      </c>
      <c r="T9" s="38"/>
      <c r="U9" s="31" t="s">
        <v>209</v>
      </c>
      <c r="V9" s="11" t="str">
        <f>Games!B27</f>
        <v>Alberta 1</v>
      </c>
      <c r="W9" s="11" t="str">
        <f>Games!F27</f>
        <v>Ontario </v>
      </c>
      <c r="X9" s="17" t="s">
        <v>185</v>
      </c>
      <c r="Y9" s="17" t="s">
        <v>183</v>
      </c>
      <c r="Z9" t="str" cm="1">
        <f t="array" ref="Z9:AG9">_xlfn.HSTACK(F9:G9,L9:M9,R9:S9,X9:Y9)</f>
        <v>Jörgen Johannsen</v>
      </c>
      <c r="AA9" t="str">
        <v>Andreas Sjöberg</v>
      </c>
      <c r="AB9" t="str">
        <v>Håkan Elveljung</v>
      </c>
      <c r="AC9" t="str">
        <v>Jim A.Nymoen</v>
      </c>
      <c r="AD9" t="str">
        <v>Magnus Undén</v>
      </c>
      <c r="AE9" t="str">
        <v>Oliver Parment</v>
      </c>
      <c r="AF9" t="str">
        <v>Håkan Norberg</v>
      </c>
      <c r="AG9" t="str">
        <v>Elias Parment</v>
      </c>
      <c r="AN9" t="str" cm="1">
        <f t="array" ref="AN9:AU9">TRANSPOSE(_xlfn._xlws.FILTER($C$32:$C$47,COUNTIF(_xlfn.ANCHORARRAY(Z9),$C$32:$C$47)=0))</f>
        <v>Espen Hoff</v>
      </c>
      <c r="AO9" t="str">
        <v>Kristoffer Stormark</v>
      </c>
      <c r="AP9" t="str">
        <v>Jonas Örevik</v>
      </c>
      <c r="AQ9" t="str">
        <v>Inge Haukom</v>
      </c>
      <c r="AR9" t="str">
        <v>Thomas Karlsson</v>
      </c>
      <c r="AS9" t="str">
        <v>Reine Schröder</v>
      </c>
      <c r="AT9" t="str">
        <v>SJUK (RM)</v>
      </c>
      <c r="AU9" t="str">
        <v>Mats Fernlund</v>
      </c>
    </row>
    <row r="10" spans="1:51" ht="15.6" x14ac:dyDescent="0.3">
      <c r="A10" s="9">
        <v>0.625</v>
      </c>
      <c r="B10">
        <f t="shared" si="0"/>
        <v>0</v>
      </c>
      <c r="C10" s="31" t="s">
        <v>207</v>
      </c>
      <c r="D10" s="15" t="str">
        <f>Games!B16</f>
        <v>Aabenraa 2 </v>
      </c>
      <c r="E10" s="15" t="str">
        <f>Games!F16</f>
        <v>Norrköping Rhinos </v>
      </c>
      <c r="F10" s="17" t="s">
        <v>182</v>
      </c>
      <c r="G10" s="17" t="s">
        <v>179</v>
      </c>
      <c r="H10" s="38"/>
      <c r="I10" s="31" t="s">
        <v>207</v>
      </c>
      <c r="J10" s="15" t="str">
        <f>Games!H16</f>
        <v>IFAH 2</v>
      </c>
      <c r="K10" s="15" t="str">
        <f>Games!L16</f>
        <v>Lilleström </v>
      </c>
      <c r="L10" s="17" t="s">
        <v>172</v>
      </c>
      <c r="M10" s="17" t="s">
        <v>184</v>
      </c>
      <c r="N10" s="38"/>
      <c r="O10" s="31" t="s">
        <v>208</v>
      </c>
      <c r="P10" s="16" t="str">
        <f>Games!H20</f>
        <v>Umeå Wolfs</v>
      </c>
      <c r="Q10" s="16" t="str">
        <f>Games!L20</f>
        <v>FIFH Malmö 2 </v>
      </c>
      <c r="R10" s="10" t="s">
        <v>181</v>
      </c>
      <c r="S10" s="10" t="s">
        <v>178</v>
      </c>
      <c r="T10" s="38"/>
      <c r="U10" s="31" t="s">
        <v>209</v>
      </c>
      <c r="V10" s="11" t="str">
        <f>Games!H27</f>
        <v>Eskilstuna Tanks</v>
      </c>
      <c r="W10" s="11" t="str">
        <f>Games!L27</f>
        <v>Boston 2</v>
      </c>
      <c r="X10" s="10" t="s">
        <v>175</v>
      </c>
      <c r="Y10" s="10" t="s">
        <v>174</v>
      </c>
      <c r="Z10" t="str" cm="1">
        <f t="array" ref="Z10:AG10">_xlfn.HSTACK(F10:G10,L10:M10,R10:S10,X10:Y10)</f>
        <v>Oliver Parment</v>
      </c>
      <c r="AA10" t="str">
        <v>Jonas Örevik</v>
      </c>
      <c r="AB10" t="str">
        <v>Espen Hoff</v>
      </c>
      <c r="AC10" t="str">
        <v>Jim A.Nymoen</v>
      </c>
      <c r="AD10" t="str">
        <v>Inge Haukom</v>
      </c>
      <c r="AE10" t="str">
        <v>Håkan Elveljung</v>
      </c>
      <c r="AF10" t="str">
        <v>Reine Schröder</v>
      </c>
      <c r="AG10" t="str">
        <v>Mats Fernlund</v>
      </c>
      <c r="AN10" t="str" cm="1">
        <f t="array" ref="AN10:AU10">TRANSPOSE(_xlfn._xlws.FILTER($C$32:$C$47,COUNTIF(_xlfn.ANCHORARRAY(Z10),$C$32:$C$47)=0))</f>
        <v>Jörgen Johannsen</v>
      </c>
      <c r="AO10" t="str">
        <v>Kristoffer Stormark</v>
      </c>
      <c r="AP10" t="str">
        <v>Thomas Karlsson</v>
      </c>
      <c r="AQ10" t="str">
        <v>Håkan Norberg</v>
      </c>
      <c r="AR10" t="str">
        <v>Andreas Sjöberg</v>
      </c>
      <c r="AS10" t="str">
        <v>Magnus Undén</v>
      </c>
      <c r="AT10" t="str">
        <v>Elias Parment</v>
      </c>
      <c r="AU10" t="str">
        <v>SJUK (RM)</v>
      </c>
    </row>
    <row r="11" spans="1:51" ht="15.6" x14ac:dyDescent="0.3">
      <c r="A11" s="9">
        <v>0.65625</v>
      </c>
      <c r="B11">
        <f t="shared" si="0"/>
        <v>0</v>
      </c>
      <c r="C11" s="31" t="s">
        <v>210</v>
      </c>
      <c r="D11" s="12" t="str">
        <f>Games!B32</f>
        <v>IFAH 3</v>
      </c>
      <c r="E11" s="12" t="str">
        <f>Games!F32</f>
        <v>FIFH Malmö 3 </v>
      </c>
      <c r="F11" s="17" t="s">
        <v>183</v>
      </c>
      <c r="G11" s="17" t="s">
        <v>180</v>
      </c>
      <c r="H11" s="38"/>
      <c r="I11" s="31" t="s">
        <v>193</v>
      </c>
      <c r="J11" s="13" t="str">
        <f>Games!H5</f>
        <v>BHV Tigers</v>
      </c>
      <c r="K11" s="13" t="str">
        <f>Games!L5</f>
        <v>Aabenraa</v>
      </c>
      <c r="L11" s="17" t="s">
        <v>176</v>
      </c>
      <c r="M11" s="17" t="s">
        <v>175</v>
      </c>
      <c r="N11" s="38"/>
      <c r="O11" s="31" t="s">
        <v>193</v>
      </c>
      <c r="P11" s="13" t="str">
        <f>Games!B5</f>
        <v>IFAH 1</v>
      </c>
      <c r="Q11" s="13" t="str">
        <f>Games!F5</f>
        <v>KF Heros 1</v>
      </c>
      <c r="R11" s="17" t="s">
        <v>184</v>
      </c>
      <c r="S11" s="17" t="s">
        <v>181</v>
      </c>
      <c r="T11" s="38"/>
      <c r="U11" s="31" t="s">
        <v>210</v>
      </c>
      <c r="V11" s="12" t="str">
        <f>Games!H32</f>
        <v>Alberta 2</v>
      </c>
      <c r="W11" s="12" t="str">
        <f>Games!L32</f>
        <v>Boston 1</v>
      </c>
      <c r="X11" s="10" t="s">
        <v>173</v>
      </c>
      <c r="Y11" s="10" t="s">
        <v>172</v>
      </c>
      <c r="Z11" t="str" cm="1">
        <f t="array" ref="Z11:AG11">_xlfn.HSTACK(F11:G11,L11:M11,R11:S11,X11:Y11)</f>
        <v>Elias Parment</v>
      </c>
      <c r="AA11" t="str">
        <v>Andreas Sjöberg</v>
      </c>
      <c r="AB11" t="str">
        <v>Kristoffer Stormark</v>
      </c>
      <c r="AC11" t="str">
        <v>Reine Schröder</v>
      </c>
      <c r="AD11" t="str">
        <v>Jim A.Nymoen</v>
      </c>
      <c r="AE11" t="str">
        <v>Inge Haukom</v>
      </c>
      <c r="AF11" t="str">
        <v>Magnus Undén</v>
      </c>
      <c r="AG11" t="str">
        <v>Espen Hoff</v>
      </c>
      <c r="AN11" t="str" cm="1">
        <f t="array" ref="AN11:AU11">TRANSPOSE(_xlfn._xlws.FILTER($C$32:$C$47,COUNTIF(_xlfn.ANCHORARRAY(Z11),$C$32:$C$47)=0))</f>
        <v>Jörgen Johannsen</v>
      </c>
      <c r="AO11" t="str">
        <v>Jonas Örevik</v>
      </c>
      <c r="AP11" t="str">
        <v>Håkan Elveljung</v>
      </c>
      <c r="AQ11" t="str">
        <v>Thomas Karlsson</v>
      </c>
      <c r="AR11" t="str">
        <v>Håkan Norberg</v>
      </c>
      <c r="AS11" t="str">
        <v>Oliver Parment</v>
      </c>
      <c r="AT11" t="str">
        <v>SJUK (RM)</v>
      </c>
      <c r="AU11" t="str">
        <v>Mats Fernlund</v>
      </c>
    </row>
    <row r="12" spans="1:51" ht="15.6" x14ac:dyDescent="0.3">
      <c r="A12" s="9">
        <v>0.6875</v>
      </c>
      <c r="B12">
        <f t="shared" si="0"/>
        <v>0</v>
      </c>
      <c r="C12" s="31" t="s">
        <v>206</v>
      </c>
      <c r="D12" s="14" t="str">
        <f>Games!B10</f>
        <v>BHV Lions </v>
      </c>
      <c r="E12" s="14" t="str">
        <f>Games!F10</f>
        <v>Gårslev </v>
      </c>
      <c r="F12" s="17" t="s">
        <v>177</v>
      </c>
      <c r="G12" s="17" t="s">
        <v>179</v>
      </c>
      <c r="H12" s="38"/>
      <c r="I12" s="31" t="s">
        <v>206</v>
      </c>
      <c r="J12" s="14" t="str">
        <f>Games!H10</f>
        <v>FIFH Malmö 1</v>
      </c>
      <c r="K12" s="14" t="str">
        <f>Games!L10</f>
        <v>Arendal </v>
      </c>
      <c r="L12" s="17" t="s">
        <v>176</v>
      </c>
      <c r="M12" s="17" t="s">
        <v>172</v>
      </c>
      <c r="N12" s="38"/>
      <c r="O12" s="31" t="s">
        <v>208</v>
      </c>
      <c r="P12" s="16" t="str">
        <f>Games!H21</f>
        <v>FIFH Malmö 2 </v>
      </c>
      <c r="Q12" s="16" t="str">
        <f>Games!L21</f>
        <v>KF Heros 2</v>
      </c>
      <c r="R12" s="17" t="s">
        <v>180</v>
      </c>
      <c r="S12" s="17" t="s">
        <v>183</v>
      </c>
      <c r="T12" s="38"/>
      <c r="U12" s="31" t="s">
        <v>208</v>
      </c>
      <c r="V12" s="16" t="str">
        <f>Games!B21</f>
        <v>Gårslev 2 </v>
      </c>
      <c r="W12" s="16" t="str">
        <f>Games!F21</f>
        <v>Umeå Wolfs</v>
      </c>
      <c r="X12" s="10" t="s">
        <v>173</v>
      </c>
      <c r="Y12" s="10" t="s">
        <v>182</v>
      </c>
      <c r="Z12" t="str" cm="1">
        <f t="array" ref="Z12:AG12">_xlfn.HSTACK(F12:G12,L12:M12,R12:S12,X12:Y12)</f>
        <v>Jörgen Johannsen</v>
      </c>
      <c r="AA12" t="str">
        <v>Jonas Örevik</v>
      </c>
      <c r="AB12" t="str">
        <v>Kristoffer Stormark</v>
      </c>
      <c r="AC12" t="str">
        <v>Espen Hoff</v>
      </c>
      <c r="AD12" t="str">
        <v>Andreas Sjöberg</v>
      </c>
      <c r="AE12" t="str">
        <v>Elias Parment</v>
      </c>
      <c r="AF12" t="str">
        <v>Magnus Undén</v>
      </c>
      <c r="AG12" t="str">
        <v>Oliver Parment</v>
      </c>
      <c r="AN12" t="str" cm="1">
        <f t="array" ref="AN12:AU12">TRANSPOSE(_xlfn._xlws.FILTER($C$32:$C$47,COUNTIF(_xlfn.ANCHORARRAY(Z12),$C$32:$C$47)=0))</f>
        <v>Jim A.Nymoen</v>
      </c>
      <c r="AO12" t="str">
        <v>Håkan Elveljung</v>
      </c>
      <c r="AP12" t="str">
        <v>Inge Haukom</v>
      </c>
      <c r="AQ12" t="str">
        <v>Thomas Karlsson</v>
      </c>
      <c r="AR12" t="str">
        <v>Håkan Norberg</v>
      </c>
      <c r="AS12" t="str">
        <v>Reine Schröder</v>
      </c>
      <c r="AT12" t="str">
        <v>SJUK (RM)</v>
      </c>
      <c r="AU12" t="str">
        <v>Mats Fernlund</v>
      </c>
    </row>
    <row r="13" spans="1:51" ht="15.6" x14ac:dyDescent="0.3">
      <c r="A13" s="9">
        <v>0.72916666666666663</v>
      </c>
      <c r="C13" s="38"/>
      <c r="D13" s="38"/>
      <c r="E13" s="38"/>
      <c r="H13" s="38"/>
      <c r="I13" s="38"/>
      <c r="J13" s="38"/>
      <c r="K13" s="38"/>
      <c r="N13" s="38"/>
      <c r="O13" s="38"/>
      <c r="P13" s="38"/>
      <c r="Q13" s="38"/>
      <c r="T13" s="38"/>
      <c r="U13" s="38"/>
      <c r="V13" s="38"/>
      <c r="W13" s="38"/>
      <c r="Z13" cm="1">
        <f t="array" ref="Z13:AG13">_xlfn.HSTACK(F13:G13,L13:M13,R13:S13,X13:Y13)</f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</row>
    <row r="14" spans="1:51" ht="15.6" x14ac:dyDescent="0.3">
      <c r="A14" s="9"/>
      <c r="C14" s="38"/>
      <c r="D14" s="38"/>
      <c r="E14" s="38"/>
      <c r="F14" s="38"/>
      <c r="G14" s="38"/>
      <c r="H14" s="38"/>
      <c r="I14" s="38"/>
      <c r="J14" s="38"/>
      <c r="K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Z14" cm="1">
        <f t="array" ref="Z14:AG14">_xlfn.HSTACK(F14:G14,L14:M14,R14:S14,X14:Y14)</f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</row>
    <row r="15" spans="1:51" ht="15.6" x14ac:dyDescent="0.3">
      <c r="A15" s="9" t="s">
        <v>137</v>
      </c>
      <c r="C15" s="38"/>
      <c r="D15" s="38"/>
      <c r="E15" s="38"/>
      <c r="H15" s="38"/>
      <c r="I15" s="38"/>
      <c r="J15" s="38"/>
      <c r="K15" s="38"/>
      <c r="N15" s="38"/>
      <c r="O15" s="38"/>
      <c r="P15" s="38"/>
      <c r="Q15" s="38"/>
      <c r="T15" s="38"/>
      <c r="U15" s="38"/>
      <c r="V15" s="38"/>
      <c r="W15" s="38"/>
      <c r="Z15" cm="1">
        <f t="array" ref="Z15:AG15">_xlfn.HSTACK(F15:G15,L15:M15,R15:S15,X15:Y15)</f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</row>
    <row r="16" spans="1:51" ht="15.6" x14ac:dyDescent="0.3">
      <c r="A16" s="9">
        <v>0.375</v>
      </c>
      <c r="B16">
        <f t="shared" ref="B16:B23" si="1">COUNTIF(_xlfn.ANCHORARRAY(Z16),0)</f>
        <v>0</v>
      </c>
      <c r="C16" s="31" t="s">
        <v>215</v>
      </c>
      <c r="D16" s="28" t="str">
        <f>Games!R25</f>
        <v>GB 1</v>
      </c>
      <c r="E16" s="28" t="str">
        <f>Games!V25</f>
        <v>GA 2</v>
      </c>
      <c r="F16" s="17" t="s">
        <v>182</v>
      </c>
      <c r="G16" s="17" t="s">
        <v>183</v>
      </c>
      <c r="H16" s="39"/>
      <c r="I16" s="31" t="s">
        <v>216</v>
      </c>
      <c r="J16" s="28" t="str">
        <f>Games!R24</f>
        <v>GA 1</v>
      </c>
      <c r="K16" s="28" t="str">
        <f>Games!V24</f>
        <v>GB 2</v>
      </c>
      <c r="L16" s="17" t="s">
        <v>173</v>
      </c>
      <c r="M16" s="17" t="s">
        <v>174</v>
      </c>
      <c r="N16" s="38"/>
      <c r="O16" s="31" t="s">
        <v>222</v>
      </c>
      <c r="P16" s="30" t="str">
        <f>Games!R14</f>
        <v>GB 1</v>
      </c>
      <c r="Q16" s="30" t="str">
        <f>Games!V14</f>
        <v>GA 4</v>
      </c>
      <c r="R16" s="17" t="s">
        <v>179</v>
      </c>
      <c r="S16" s="17" t="s">
        <v>185</v>
      </c>
      <c r="T16" s="38"/>
      <c r="U16" s="31" t="s">
        <v>218</v>
      </c>
      <c r="V16" s="30" t="str">
        <f>Games!R13</f>
        <v>GA 1</v>
      </c>
      <c r="W16" s="30" t="str">
        <f>Games!V13</f>
        <v>GB 4</v>
      </c>
      <c r="X16" s="17" t="s">
        <v>178</v>
      </c>
      <c r="Y16" s="17" t="s">
        <v>175</v>
      </c>
      <c r="Z16" t="str" cm="1">
        <f t="array" ref="Z16:AG16">_xlfn.HSTACK(F16:G16,L16:M16,R16:S16,X16:Y16)</f>
        <v>Oliver Parment</v>
      </c>
      <c r="AA16" t="str">
        <v>Elias Parment</v>
      </c>
      <c r="AB16" t="str">
        <v>Magnus Undén</v>
      </c>
      <c r="AC16" t="str">
        <v>Mats Fernlund</v>
      </c>
      <c r="AD16" t="str">
        <v>Jonas Örevik</v>
      </c>
      <c r="AE16" t="str">
        <v>Håkan Norberg</v>
      </c>
      <c r="AF16" t="str">
        <v>Håkan Elveljung</v>
      </c>
      <c r="AG16" t="str">
        <v>Reine Schröder</v>
      </c>
      <c r="AN16" t="str" cm="1">
        <f t="array" ref="AN16:AU16">TRANSPOSE(_xlfn._xlws.FILTER($C$32:$C$47,COUNTIF(_xlfn.ANCHORARRAY(Z16),$C$32:$C$47)=0))</f>
        <v>Espen Hoff</v>
      </c>
      <c r="AO16" t="str">
        <v>Jim A.Nymoen</v>
      </c>
      <c r="AP16" t="str">
        <v>Jörgen Johannsen</v>
      </c>
      <c r="AQ16" t="str">
        <v>Kristoffer Stormark</v>
      </c>
      <c r="AR16" t="str">
        <v>Inge Haukom</v>
      </c>
      <c r="AS16" t="str">
        <v>Thomas Karlsson</v>
      </c>
      <c r="AT16" t="str">
        <v>Andreas Sjöberg</v>
      </c>
      <c r="AU16" t="str">
        <v>SJUK (RM)</v>
      </c>
    </row>
    <row r="17" spans="1:51" ht="15.6" x14ac:dyDescent="0.3">
      <c r="A17" s="9">
        <v>0.40625</v>
      </c>
      <c r="B17">
        <f t="shared" si="1"/>
        <v>0</v>
      </c>
      <c r="C17" s="31" t="s">
        <v>219</v>
      </c>
      <c r="D17" s="27" t="str">
        <f>Games!R31</f>
        <v>GB 3</v>
      </c>
      <c r="E17" s="27" t="str">
        <f>Games!V31</f>
        <v>GA 4</v>
      </c>
      <c r="F17" s="17" t="s">
        <v>182</v>
      </c>
      <c r="G17" s="17" t="s">
        <v>183</v>
      </c>
      <c r="H17" s="39"/>
      <c r="I17" s="31" t="s">
        <v>220</v>
      </c>
      <c r="J17" s="27" t="str">
        <f>Games!R30</f>
        <v>GA 3</v>
      </c>
      <c r="K17" s="27" t="str">
        <f>Games!V30</f>
        <v>GB 4</v>
      </c>
      <c r="L17" s="10" t="s">
        <v>173</v>
      </c>
      <c r="M17" s="10" t="s">
        <v>174</v>
      </c>
      <c r="N17" s="38"/>
      <c r="O17" s="31" t="s">
        <v>221</v>
      </c>
      <c r="P17" s="30" t="str">
        <f>Games!R16</f>
        <v>GB 2</v>
      </c>
      <c r="Q17" s="30" t="str">
        <f>Games!V16</f>
        <v>GA 3</v>
      </c>
      <c r="R17" s="10" t="s">
        <v>180</v>
      </c>
      <c r="S17" s="10" t="s">
        <v>184</v>
      </c>
      <c r="T17" s="38"/>
      <c r="U17" s="31" t="s">
        <v>217</v>
      </c>
      <c r="V17" s="30" t="str">
        <f>Games!R15</f>
        <v>GA 2</v>
      </c>
      <c r="W17" s="30" t="str">
        <f>Games!V15</f>
        <v>GB 3</v>
      </c>
      <c r="X17" s="10" t="s">
        <v>172</v>
      </c>
      <c r="Y17" s="10" t="s">
        <v>175</v>
      </c>
      <c r="Z17" t="str" cm="1">
        <f t="array" ref="Z17:AG17">_xlfn.HSTACK(F17:G17,L17:M17,R17:S17,X17:Y17)</f>
        <v>Oliver Parment</v>
      </c>
      <c r="AA17" t="str">
        <v>Elias Parment</v>
      </c>
      <c r="AB17" t="str">
        <v>Magnus Undén</v>
      </c>
      <c r="AC17" t="str">
        <v>Mats Fernlund</v>
      </c>
      <c r="AD17" t="str">
        <v>Andreas Sjöberg</v>
      </c>
      <c r="AE17" t="str">
        <v>Jim A.Nymoen</v>
      </c>
      <c r="AF17" t="str">
        <v>Espen Hoff</v>
      </c>
      <c r="AG17" t="str">
        <v>Reine Schröder</v>
      </c>
      <c r="AN17" t="str" cm="1">
        <f t="array" ref="AN17:AU17">TRANSPOSE(_xlfn._xlws.FILTER($C$32:$C$47,COUNTIF(_xlfn.ANCHORARRAY(Z17),$C$32:$C$47)=0))</f>
        <v>Jörgen Johannsen</v>
      </c>
      <c r="AO17" t="str">
        <v>Kristoffer Stormark</v>
      </c>
      <c r="AP17" t="str">
        <v>Jonas Örevik</v>
      </c>
      <c r="AQ17" t="str">
        <v>Håkan Elveljung</v>
      </c>
      <c r="AR17" t="str">
        <v>Inge Haukom</v>
      </c>
      <c r="AS17" t="str">
        <v>Thomas Karlsson</v>
      </c>
      <c r="AT17" t="str">
        <v>Håkan Norberg</v>
      </c>
      <c r="AU17" t="str">
        <v>SJUK (RM)</v>
      </c>
    </row>
    <row r="18" spans="1:51" ht="15.6" x14ac:dyDescent="0.3">
      <c r="A18" s="9">
        <v>0.4375</v>
      </c>
      <c r="B18">
        <f t="shared" si="1"/>
        <v>0</v>
      </c>
      <c r="C18" s="31" t="s">
        <v>223</v>
      </c>
      <c r="D18" s="30" t="str">
        <f>Games!AA16</f>
        <v>L QF 1</v>
      </c>
      <c r="E18" s="30" t="str">
        <f>Games!AE16</f>
        <v>L QF 3</v>
      </c>
      <c r="F18" s="17" t="s">
        <v>185</v>
      </c>
      <c r="G18" s="17" t="s">
        <v>183</v>
      </c>
      <c r="H18" s="38"/>
      <c r="I18" s="31" t="s">
        <v>224</v>
      </c>
      <c r="J18" s="30" t="str">
        <f>Games!AA13</f>
        <v>W QF 1</v>
      </c>
      <c r="K18" s="30" t="str">
        <f>Games!AE13</f>
        <v>W QF 3</v>
      </c>
      <c r="L18" s="10" t="s">
        <v>173</v>
      </c>
      <c r="M18" s="10" t="s">
        <v>180</v>
      </c>
      <c r="N18" s="38"/>
      <c r="O18" s="31" t="s">
        <v>225</v>
      </c>
      <c r="P18" s="29" t="str">
        <f>Games!R4</f>
        <v>GA 2</v>
      </c>
      <c r="Q18" s="29" t="str">
        <f>Games!V4</f>
        <v>GB 3</v>
      </c>
      <c r="R18" s="17" t="s">
        <v>172</v>
      </c>
      <c r="S18" s="17" t="s">
        <v>184</v>
      </c>
      <c r="T18" s="38"/>
      <c r="U18" s="31" t="s">
        <v>226</v>
      </c>
      <c r="V18" s="29" t="str">
        <f>Games!R2</f>
        <v>GA 1</v>
      </c>
      <c r="W18" s="29" t="str">
        <f>Games!V2</f>
        <v>GB 4</v>
      </c>
      <c r="X18" s="10" t="s">
        <v>176</v>
      </c>
      <c r="Y18" s="10" t="s">
        <v>175</v>
      </c>
      <c r="Z18" t="str" cm="1">
        <f t="array" ref="Z18:AG18">_xlfn.HSTACK(F18:G18,L18:M18,R18:S18,X18:Y18)</f>
        <v>Håkan Norberg</v>
      </c>
      <c r="AA18" t="str">
        <v>Elias Parment</v>
      </c>
      <c r="AB18" t="str">
        <v>Magnus Undén</v>
      </c>
      <c r="AC18" t="str">
        <v>Andreas Sjöberg</v>
      </c>
      <c r="AD18" t="str">
        <v>Espen Hoff</v>
      </c>
      <c r="AE18" t="str">
        <v>Jim A.Nymoen</v>
      </c>
      <c r="AF18" t="str">
        <v>Kristoffer Stormark</v>
      </c>
      <c r="AG18" t="str">
        <v>Reine Schröder</v>
      </c>
      <c r="AN18" t="str" cm="1">
        <f t="array" ref="AN18:AU18">TRANSPOSE(_xlfn._xlws.FILTER($C$32:$C$47,COUNTIF(_xlfn.ANCHORARRAY(Z18),$C$32:$C$47)=0))</f>
        <v>Jörgen Johannsen</v>
      </c>
      <c r="AO18" t="str">
        <v>Jonas Örevik</v>
      </c>
      <c r="AP18" t="str">
        <v>Håkan Elveljung</v>
      </c>
      <c r="AQ18" t="str">
        <v>Inge Haukom</v>
      </c>
      <c r="AR18" t="str">
        <v>Thomas Karlsson</v>
      </c>
      <c r="AS18" t="str">
        <v>Oliver Parment</v>
      </c>
      <c r="AT18" t="str">
        <v>SJUK (RM)</v>
      </c>
      <c r="AU18" t="str">
        <v>Mats Fernlund</v>
      </c>
    </row>
    <row r="19" spans="1:51" ht="15.6" x14ac:dyDescent="0.3">
      <c r="A19" s="9">
        <v>0.46875</v>
      </c>
      <c r="B19">
        <f t="shared" si="1"/>
        <v>0</v>
      </c>
      <c r="C19" s="31" t="s">
        <v>227</v>
      </c>
      <c r="D19" s="30" t="str">
        <f>Games!AA17</f>
        <v>L QF 2</v>
      </c>
      <c r="E19" s="30" t="str">
        <f>Games!AE17</f>
        <v>L QF 4</v>
      </c>
      <c r="F19" s="17" t="s">
        <v>184</v>
      </c>
      <c r="G19" s="17" t="s">
        <v>177</v>
      </c>
      <c r="H19" s="38"/>
      <c r="I19" s="31" t="s">
        <v>228</v>
      </c>
      <c r="J19" s="30" t="str">
        <f>Games!AA14</f>
        <v>W QF 2</v>
      </c>
      <c r="K19" s="30" t="str">
        <f>Games!AE14</f>
        <v>W QF 4</v>
      </c>
      <c r="L19" s="17" t="s">
        <v>179</v>
      </c>
      <c r="M19" s="17" t="s">
        <v>180</v>
      </c>
      <c r="N19" s="38"/>
      <c r="O19" s="31" t="s">
        <v>229</v>
      </c>
      <c r="P19" s="29" t="str">
        <f>Games!R3</f>
        <v>GB 1</v>
      </c>
      <c r="Q19" s="29" t="str">
        <f>Games!V3</f>
        <v>GA 4</v>
      </c>
      <c r="R19" s="17" t="s">
        <v>178</v>
      </c>
      <c r="S19" s="17" t="s">
        <v>181</v>
      </c>
      <c r="T19" s="38"/>
      <c r="U19" s="31" t="s">
        <v>230</v>
      </c>
      <c r="V19" s="29" t="str">
        <f>Games!R5</f>
        <v>GB 2</v>
      </c>
      <c r="W19" s="29" t="str">
        <f>Games!V5</f>
        <v>GA 3</v>
      </c>
      <c r="X19" s="10" t="s">
        <v>176</v>
      </c>
      <c r="Y19" s="10" t="s">
        <v>182</v>
      </c>
      <c r="Z19" t="str" cm="1">
        <f t="array" ref="Z19:AG19">_xlfn.HSTACK(F19:G19,L19:M19,R19:S19,X19:Y19)</f>
        <v>Jim A.Nymoen</v>
      </c>
      <c r="AA19" t="str">
        <v>Jörgen Johannsen</v>
      </c>
      <c r="AB19" t="str">
        <v>Jonas Örevik</v>
      </c>
      <c r="AC19" t="str">
        <v>Andreas Sjöberg</v>
      </c>
      <c r="AD19" t="str">
        <v>Håkan Elveljung</v>
      </c>
      <c r="AE19" t="str">
        <v>Inge Haukom</v>
      </c>
      <c r="AF19" t="str">
        <v>Kristoffer Stormark</v>
      </c>
      <c r="AG19" t="str">
        <v>Oliver Parment</v>
      </c>
      <c r="AN19" t="str" cm="1">
        <f t="array" ref="AN19:AU19">TRANSPOSE(_xlfn._xlws.FILTER($C$32:$C$47,COUNTIF(_xlfn.ANCHORARRAY(Z19),$C$32:$C$47)=0))</f>
        <v>Espen Hoff</v>
      </c>
      <c r="AO19" t="str">
        <v>Thomas Karlsson</v>
      </c>
      <c r="AP19" t="str">
        <v>Håkan Norberg</v>
      </c>
      <c r="AQ19" t="str">
        <v>Magnus Undén</v>
      </c>
      <c r="AR19" t="str">
        <v>Reine Schröder</v>
      </c>
      <c r="AS19" t="str">
        <v>Elias Parment</v>
      </c>
      <c r="AT19" t="str">
        <v>SJUK (RM)</v>
      </c>
      <c r="AU19" t="str">
        <v>Mats Fernlund</v>
      </c>
    </row>
    <row r="20" spans="1:51" ht="15.6" x14ac:dyDescent="0.3">
      <c r="A20" s="9">
        <v>0.5</v>
      </c>
      <c r="B20">
        <f>COUNTIF(_xlfn.ANCHORARRAY(Z20),0)-4</f>
        <v>0</v>
      </c>
      <c r="C20" s="31" t="s">
        <v>231</v>
      </c>
      <c r="D20" s="29" t="str">
        <f>Games!AA5</f>
        <v>L QF 1</v>
      </c>
      <c r="E20" s="29" t="str">
        <f>Games!AE5</f>
        <v>L QF 3</v>
      </c>
      <c r="F20" s="17" t="s">
        <v>184</v>
      </c>
      <c r="G20" s="17" t="s">
        <v>177</v>
      </c>
      <c r="H20" s="38"/>
      <c r="I20" s="31" t="s">
        <v>232</v>
      </c>
      <c r="J20" s="29" t="str">
        <f>Games!AA2</f>
        <v>W QF 1</v>
      </c>
      <c r="K20" s="29" t="str">
        <f>Games!AE2</f>
        <v>W QF 3</v>
      </c>
      <c r="L20" s="17" t="s">
        <v>172</v>
      </c>
      <c r="M20" s="17" t="s">
        <v>180</v>
      </c>
      <c r="N20" s="38"/>
      <c r="O20" s="31"/>
      <c r="P20" s="42" t="s">
        <v>135</v>
      </c>
      <c r="Q20" s="42"/>
      <c r="R20" s="38"/>
      <c r="S20" s="38"/>
      <c r="T20" s="38"/>
      <c r="U20" s="31"/>
      <c r="V20" s="42" t="s">
        <v>135</v>
      </c>
      <c r="W20" s="42"/>
      <c r="Z20" t="str" cm="1">
        <f t="array" ref="Z20:AG20">_xlfn.HSTACK(F20:G20,L20:M20,R20:S20,X20:Y20)</f>
        <v>Jim A.Nymoen</v>
      </c>
      <c r="AA20" t="str">
        <v>Jörgen Johannsen</v>
      </c>
      <c r="AB20" t="str">
        <v>Espen Hoff</v>
      </c>
      <c r="AC20" t="str">
        <v>Andreas Sjöberg</v>
      </c>
      <c r="AD20">
        <v>0</v>
      </c>
      <c r="AE20">
        <v>0</v>
      </c>
      <c r="AF20">
        <v>0</v>
      </c>
      <c r="AG20">
        <v>0</v>
      </c>
      <c r="AN20" t="str" cm="1">
        <f t="array" ref="AN20:AY20">TRANSPOSE(_xlfn._xlws.FILTER($C$32:$C$47,COUNTIF(_xlfn.ANCHORARRAY(Z20),$C$32:$C$47)=0))</f>
        <v>Kristoffer Stormark</v>
      </c>
      <c r="AO20" t="str">
        <v>Jonas Örevik</v>
      </c>
      <c r="AP20" t="str">
        <v>Håkan Elveljung</v>
      </c>
      <c r="AQ20" t="str">
        <v>Inge Haukom</v>
      </c>
      <c r="AR20" t="str">
        <v>Thomas Karlsson</v>
      </c>
      <c r="AS20" t="str">
        <v>Håkan Norberg</v>
      </c>
      <c r="AT20" t="str">
        <v>Magnus Undén</v>
      </c>
      <c r="AU20" t="str">
        <v>Oliver Parment</v>
      </c>
      <c r="AV20" t="str">
        <v>Reine Schröder</v>
      </c>
      <c r="AW20" t="str">
        <v>Elias Parment</v>
      </c>
      <c r="AX20" t="str">
        <v>SJUK (RM)</v>
      </c>
      <c r="AY20" t="str">
        <v>Mats Fernlund</v>
      </c>
    </row>
    <row r="21" spans="1:51" ht="15.6" x14ac:dyDescent="0.3">
      <c r="A21" s="9">
        <v>0.53125</v>
      </c>
      <c r="B21">
        <f>COUNTIF(_xlfn.ANCHORARRAY(Z21),0)-4</f>
        <v>0</v>
      </c>
      <c r="C21" s="31"/>
      <c r="D21" s="42" t="s">
        <v>135</v>
      </c>
      <c r="E21" s="42"/>
      <c r="F21" s="38"/>
      <c r="G21" s="38"/>
      <c r="H21" s="38"/>
      <c r="I21" s="31"/>
      <c r="J21" s="42" t="s">
        <v>135</v>
      </c>
      <c r="K21" s="42"/>
      <c r="L21" s="17"/>
      <c r="M21" s="17"/>
      <c r="N21" s="38"/>
      <c r="O21" s="31" t="s">
        <v>233</v>
      </c>
      <c r="P21" s="29" t="str">
        <f>Games!AA6</f>
        <v>L QF 2</v>
      </c>
      <c r="Q21" s="29" t="str">
        <f>Games!AE6</f>
        <v>L QF 4</v>
      </c>
      <c r="R21" s="10" t="s">
        <v>177</v>
      </c>
      <c r="S21" s="10" t="s">
        <v>182</v>
      </c>
      <c r="T21" s="38"/>
      <c r="U21" s="31" t="s">
        <v>232</v>
      </c>
      <c r="V21" s="29" t="str">
        <f>Games!AA3</f>
        <v>W QF 2</v>
      </c>
      <c r="W21" s="29" t="str">
        <f>Games!AE3</f>
        <v>W QF 4</v>
      </c>
      <c r="X21" s="10" t="s">
        <v>176</v>
      </c>
      <c r="Y21" s="10" t="s">
        <v>175</v>
      </c>
      <c r="Z21" cm="1">
        <f t="array" ref="Z21:AG21">_xlfn.HSTACK(F21:G21,L21:M21,R21:S21,X21:Y21)</f>
        <v>0</v>
      </c>
      <c r="AA21">
        <v>0</v>
      </c>
      <c r="AB21">
        <v>0</v>
      </c>
      <c r="AC21">
        <v>0</v>
      </c>
      <c r="AD21" t="str">
        <v>Jörgen Johannsen</v>
      </c>
      <c r="AE21" t="str">
        <v>Oliver Parment</v>
      </c>
      <c r="AF21" t="str">
        <v>Kristoffer Stormark</v>
      </c>
      <c r="AG21" t="str">
        <v>Reine Schröder</v>
      </c>
      <c r="AN21" t="str" cm="1">
        <f t="array" ref="AN21:AY21">TRANSPOSE(_xlfn._xlws.FILTER($C$32:$C$47,COUNTIF(_xlfn.ANCHORARRAY(Z21),$C$32:$C$47)=0))</f>
        <v>Espen Hoff</v>
      </c>
      <c r="AO21" t="str">
        <v>Jim A.Nymoen</v>
      </c>
      <c r="AP21" t="str">
        <v>Jonas Örevik</v>
      </c>
      <c r="AQ21" t="str">
        <v>Håkan Elveljung</v>
      </c>
      <c r="AR21" t="str">
        <v>Inge Haukom</v>
      </c>
      <c r="AS21" t="str">
        <v>Thomas Karlsson</v>
      </c>
      <c r="AT21" t="str">
        <v>Håkan Norberg</v>
      </c>
      <c r="AU21" t="str">
        <v>Andreas Sjöberg</v>
      </c>
      <c r="AV21" t="str">
        <v>Magnus Undén</v>
      </c>
      <c r="AW21" t="str">
        <v>Elias Parment</v>
      </c>
      <c r="AX21" t="str">
        <v>SJUK (RM)</v>
      </c>
      <c r="AY21" t="str">
        <v>Mats Fernlund</v>
      </c>
    </row>
    <row r="22" spans="1:51" ht="15.6" x14ac:dyDescent="0.3">
      <c r="A22" s="9">
        <v>0.5625</v>
      </c>
      <c r="B22">
        <f t="shared" si="1"/>
        <v>0</v>
      </c>
      <c r="C22" s="31" t="s">
        <v>234</v>
      </c>
      <c r="D22" s="28" t="str">
        <f>Games!AA25</f>
        <v>L SF 1</v>
      </c>
      <c r="E22" s="28" t="str">
        <f>Games!AE25</f>
        <v>L SF 2</v>
      </c>
      <c r="F22" s="10" t="s">
        <v>182</v>
      </c>
      <c r="G22" s="10" t="s">
        <v>183</v>
      </c>
      <c r="H22" s="38"/>
      <c r="I22" s="31" t="s">
        <v>235</v>
      </c>
      <c r="J22" s="27" t="str">
        <f>Games!AA31</f>
        <v>L SF 1</v>
      </c>
      <c r="K22" s="27" t="str">
        <f>Games!AE31</f>
        <v>L SF 2</v>
      </c>
      <c r="L22" s="17" t="s">
        <v>186</v>
      </c>
      <c r="M22" s="17" t="s">
        <v>174</v>
      </c>
      <c r="N22" s="38"/>
      <c r="O22" s="31" t="s">
        <v>236</v>
      </c>
      <c r="P22" s="30" t="str">
        <f>Games!AJ16</f>
        <v>W PQ 1</v>
      </c>
      <c r="Q22" s="30" t="str">
        <f>Games!AN16</f>
        <v>W PQ 2</v>
      </c>
      <c r="R22" s="10" t="s">
        <v>185</v>
      </c>
      <c r="S22" s="10" t="s">
        <v>172</v>
      </c>
      <c r="T22" s="38"/>
      <c r="U22" s="31" t="s">
        <v>237</v>
      </c>
      <c r="V22" s="30" t="str">
        <f>Games!AJ17</f>
        <v>L PQ 1</v>
      </c>
      <c r="W22" s="30" t="str">
        <f>Games!AN17</f>
        <v>L PQ 2</v>
      </c>
      <c r="X22" s="10" t="s">
        <v>181</v>
      </c>
      <c r="Y22" s="10" t="s">
        <v>173</v>
      </c>
      <c r="Z22" t="str" cm="1">
        <f t="array" ref="Z22:AG22">_xlfn.HSTACK(F22:G22,L22:M22,R22:S22,X22:Y22)</f>
        <v>Oliver Parment</v>
      </c>
      <c r="AA22" t="str">
        <v>Elias Parment</v>
      </c>
      <c r="AB22" t="str">
        <v>Thomas Karlsson</v>
      </c>
      <c r="AC22" t="str">
        <v>Mats Fernlund</v>
      </c>
      <c r="AD22" t="str">
        <v>Håkan Norberg</v>
      </c>
      <c r="AE22" t="str">
        <v>Espen Hoff</v>
      </c>
      <c r="AF22" t="str">
        <v>Inge Haukom</v>
      </c>
      <c r="AG22" t="str">
        <v>Magnus Undén</v>
      </c>
      <c r="AN22" t="str" cm="1">
        <f t="array" ref="AN22:AU22">TRANSPOSE(_xlfn._xlws.FILTER($C$32:$C$47,COUNTIF(_xlfn.ANCHORARRAY(Z22),$C$32:$C$47)=0))</f>
        <v>Jim A.Nymoen</v>
      </c>
      <c r="AO22" t="str">
        <v>Jörgen Johannsen</v>
      </c>
      <c r="AP22" t="str">
        <v>Kristoffer Stormark</v>
      </c>
      <c r="AQ22" t="str">
        <v>Jonas Örevik</v>
      </c>
      <c r="AR22" t="str">
        <v>Håkan Elveljung</v>
      </c>
      <c r="AS22" t="str">
        <v>Andreas Sjöberg</v>
      </c>
      <c r="AT22" t="str">
        <v>Reine Schröder</v>
      </c>
      <c r="AU22" t="str">
        <v>SJUK (RM)</v>
      </c>
    </row>
    <row r="23" spans="1:51" ht="15.6" x14ac:dyDescent="0.3">
      <c r="A23" s="9">
        <v>0.60416666666666663</v>
      </c>
      <c r="B23">
        <f t="shared" si="1"/>
        <v>0</v>
      </c>
      <c r="C23" s="31" t="s">
        <v>238</v>
      </c>
      <c r="D23" s="28" t="str">
        <f>Games!AA24</f>
        <v>W SF 1</v>
      </c>
      <c r="E23" s="28" t="str">
        <f>Games!AE24</f>
        <v>W SF 2</v>
      </c>
      <c r="F23" s="17" t="s">
        <v>175</v>
      </c>
      <c r="G23" s="17" t="s">
        <v>173</v>
      </c>
      <c r="H23" s="38"/>
      <c r="I23" s="31" t="s">
        <v>239</v>
      </c>
      <c r="J23" s="27" t="str">
        <f>Games!AA30</f>
        <v>W SF 1</v>
      </c>
      <c r="K23" s="27" t="str">
        <f>Games!AE30</f>
        <v>W SF 2</v>
      </c>
      <c r="L23" s="17" t="s">
        <v>182</v>
      </c>
      <c r="M23" s="17" t="s">
        <v>183</v>
      </c>
      <c r="N23" s="38"/>
      <c r="O23" s="31" t="s">
        <v>240</v>
      </c>
      <c r="P23" s="29" t="str">
        <f>Games!AJ5</f>
        <v>W PQ 1</v>
      </c>
      <c r="Q23" s="29" t="str">
        <f>Games!AN5</f>
        <v>W PQ 2</v>
      </c>
      <c r="R23" s="10" t="s">
        <v>179</v>
      </c>
      <c r="S23" s="10" t="s">
        <v>178</v>
      </c>
      <c r="T23" s="38"/>
      <c r="U23" s="31" t="s">
        <v>241</v>
      </c>
      <c r="V23" s="29" t="str">
        <f>Games!AJ6</f>
        <v>L PQ 1</v>
      </c>
      <c r="W23" s="29" t="str">
        <f>Games!AN6</f>
        <v>L PQ 2</v>
      </c>
      <c r="X23" s="10" t="s">
        <v>181</v>
      </c>
      <c r="Y23" s="10" t="s">
        <v>177</v>
      </c>
      <c r="Z23" t="str" cm="1">
        <f t="array" ref="Z23:AG23">_xlfn.HSTACK(F23:G23,L23:M23,R23:S23,X23:Y23)</f>
        <v>Reine Schröder</v>
      </c>
      <c r="AA23" t="str">
        <v>Magnus Undén</v>
      </c>
      <c r="AB23" t="str">
        <v>Oliver Parment</v>
      </c>
      <c r="AC23" t="str">
        <v>Elias Parment</v>
      </c>
      <c r="AD23" t="str">
        <v>Jonas Örevik</v>
      </c>
      <c r="AE23" t="str">
        <v>Håkan Elveljung</v>
      </c>
      <c r="AF23" t="str">
        <v>Inge Haukom</v>
      </c>
      <c r="AG23" t="str">
        <v>Jörgen Johannsen</v>
      </c>
      <c r="AN23" t="str" cm="1">
        <f t="array" ref="AN23:AU23">TRANSPOSE(_xlfn._xlws.FILTER($C$32:$C$47,COUNTIF(_xlfn.ANCHORARRAY(Z23),$C$32:$C$47)=0))</f>
        <v>Espen Hoff</v>
      </c>
      <c r="AO23" t="str">
        <v>Jim A.Nymoen</v>
      </c>
      <c r="AP23" t="str">
        <v>Kristoffer Stormark</v>
      </c>
      <c r="AQ23" t="str">
        <v>Thomas Karlsson</v>
      </c>
      <c r="AR23" t="str">
        <v>Håkan Norberg</v>
      </c>
      <c r="AS23" t="str">
        <v>Andreas Sjöberg</v>
      </c>
      <c r="AT23" t="str">
        <v>SJUK (RM)</v>
      </c>
      <c r="AU23" t="str">
        <v>Mats Fernlund</v>
      </c>
    </row>
    <row r="24" spans="1:51" ht="15.6" x14ac:dyDescent="0.3">
      <c r="A24" s="9">
        <v>0.64583333333333337</v>
      </c>
      <c r="B24">
        <f>COUNTIF(_xlfn.ANCHORARRAY(Z24),0)-4</f>
        <v>0</v>
      </c>
      <c r="C24" s="31" t="s">
        <v>242</v>
      </c>
      <c r="D24" s="30" t="str">
        <f>Games!AJ13</f>
        <v>W SF 1</v>
      </c>
      <c r="E24" s="30" t="str">
        <f>Games!AN13</f>
        <v>W SF 2</v>
      </c>
      <c r="F24" s="17" t="s">
        <v>184</v>
      </c>
      <c r="G24" s="17" t="s">
        <v>172</v>
      </c>
      <c r="H24" s="38"/>
      <c r="I24" s="31" t="s">
        <v>243</v>
      </c>
      <c r="J24" s="29" t="str">
        <f>Games!AJ3</f>
        <v>L SF 1</v>
      </c>
      <c r="K24" s="29" t="str">
        <f>Games!AN3</f>
        <v>L SF 2</v>
      </c>
      <c r="L24" s="17" t="s">
        <v>176</v>
      </c>
      <c r="M24" s="17" t="s">
        <v>177</v>
      </c>
      <c r="N24" s="38"/>
      <c r="O24" s="38"/>
      <c r="P24" s="38"/>
      <c r="Q24" s="38"/>
      <c r="R24" s="17"/>
      <c r="S24" s="17"/>
      <c r="T24" s="38"/>
      <c r="U24" s="38"/>
      <c r="V24" s="38"/>
      <c r="W24" s="38"/>
      <c r="Z24" t="str" cm="1">
        <f t="array" ref="Z24:AG24">_xlfn.HSTACK(F24:G24,L24:M24,R24:S24,X24:Y24)</f>
        <v>Jim A.Nymoen</v>
      </c>
      <c r="AA24" t="str">
        <v>Espen Hoff</v>
      </c>
      <c r="AB24" t="str">
        <v>Kristoffer Stormark</v>
      </c>
      <c r="AC24" t="str">
        <v>Jörgen Johannsen</v>
      </c>
      <c r="AD24">
        <v>0</v>
      </c>
      <c r="AE24">
        <v>0</v>
      </c>
      <c r="AF24">
        <v>0</v>
      </c>
      <c r="AG24">
        <v>0</v>
      </c>
      <c r="AN24" t="str" cm="1">
        <f t="array" ref="AN24:AY24">TRANSPOSE(_xlfn._xlws.FILTER($C$32:$C$47,COUNTIF(_xlfn.ANCHORARRAY(Z24),$C$32:$C$47)=0))</f>
        <v>Jonas Örevik</v>
      </c>
      <c r="AO24" t="str">
        <v>Håkan Elveljung</v>
      </c>
      <c r="AP24" t="str">
        <v>Inge Haukom</v>
      </c>
      <c r="AQ24" t="str">
        <v>Thomas Karlsson</v>
      </c>
      <c r="AR24" t="str">
        <v>Håkan Norberg</v>
      </c>
      <c r="AS24" t="str">
        <v>Andreas Sjöberg</v>
      </c>
      <c r="AT24" t="str">
        <v>Magnus Undén</v>
      </c>
      <c r="AU24" t="str">
        <v>Oliver Parment</v>
      </c>
      <c r="AV24" t="str">
        <v>Reine Schröder</v>
      </c>
      <c r="AW24" t="str">
        <v>Elias Parment</v>
      </c>
      <c r="AX24" t="str">
        <v>SJUK (RM)</v>
      </c>
      <c r="AY24" t="str">
        <v>Mats Fernlund</v>
      </c>
    </row>
    <row r="25" spans="1:51" ht="15.6" x14ac:dyDescent="0.3">
      <c r="A25" s="9">
        <v>0.6875</v>
      </c>
      <c r="B25">
        <f>COUNTIF(_xlfn.ANCHORARRAY(Z25),0)-4</f>
        <v>0</v>
      </c>
      <c r="C25" s="31" t="s">
        <v>244</v>
      </c>
      <c r="D25" s="29" t="str">
        <f>Games!AJ2</f>
        <v>W SF 1</v>
      </c>
      <c r="E25" s="29" t="str">
        <f>Games!AN2</f>
        <v>W SF 2</v>
      </c>
      <c r="F25" s="17" t="s">
        <v>176</v>
      </c>
      <c r="G25" s="17" t="s">
        <v>177</v>
      </c>
      <c r="H25" s="38"/>
      <c r="I25" s="31" t="s">
        <v>245</v>
      </c>
      <c r="J25" s="30" t="str">
        <f>Games!AJ14</f>
        <v>L SF 1</v>
      </c>
      <c r="K25" s="30" t="str">
        <f>Games!AN14</f>
        <v>L SF 2</v>
      </c>
      <c r="L25" s="17" t="s">
        <v>180</v>
      </c>
      <c r="M25" s="17" t="s">
        <v>173</v>
      </c>
      <c r="N25" s="38"/>
      <c r="O25" s="38"/>
      <c r="P25" s="38"/>
      <c r="Q25" s="38"/>
      <c r="R25" s="17"/>
      <c r="S25" s="17"/>
      <c r="T25" s="38"/>
      <c r="U25" s="38"/>
      <c r="V25" s="38"/>
      <c r="W25" s="38"/>
      <c r="Z25" t="str" cm="1">
        <f t="array" ref="Z25:AG25">_xlfn.HSTACK(F25:G25,L25:M25,R25:S25,X25:Y25)</f>
        <v>Kristoffer Stormark</v>
      </c>
      <c r="AA25" t="str">
        <v>Jörgen Johannsen</v>
      </c>
      <c r="AB25" t="str">
        <v>Andreas Sjöberg</v>
      </c>
      <c r="AC25" t="str">
        <v>Magnus Undén</v>
      </c>
      <c r="AD25">
        <v>0</v>
      </c>
      <c r="AE25">
        <v>0</v>
      </c>
      <c r="AF25">
        <v>0</v>
      </c>
      <c r="AG25">
        <v>0</v>
      </c>
      <c r="AN25" t="str" cm="1">
        <f t="array" ref="AN25:AY25">TRANSPOSE(_xlfn._xlws.FILTER($C$32:$C$47,COUNTIF(_xlfn.ANCHORARRAY(Z25),$C$32:$C$47)=0))</f>
        <v>Espen Hoff</v>
      </c>
      <c r="AO25" t="str">
        <v>Jim A.Nymoen</v>
      </c>
      <c r="AP25" t="str">
        <v>Jonas Örevik</v>
      </c>
      <c r="AQ25" t="str">
        <v>Håkan Elveljung</v>
      </c>
      <c r="AR25" t="str">
        <v>Inge Haukom</v>
      </c>
      <c r="AS25" t="str">
        <v>Thomas Karlsson</v>
      </c>
      <c r="AT25" t="str">
        <v>Håkan Norberg</v>
      </c>
      <c r="AU25" t="str">
        <v>Oliver Parment</v>
      </c>
      <c r="AV25" t="str">
        <v>Reine Schröder</v>
      </c>
      <c r="AW25" t="str">
        <v>Elias Parment</v>
      </c>
      <c r="AX25" t="str">
        <v>SJUK (RM)</v>
      </c>
      <c r="AY25" t="str">
        <v>Mats Fernlund</v>
      </c>
    </row>
    <row r="26" spans="1:51" x14ac:dyDescent="0.3">
      <c r="C26" s="38"/>
      <c r="D26" s="38"/>
      <c r="E26" s="38"/>
      <c r="F26" s="17"/>
      <c r="G26" s="17"/>
      <c r="H26" s="38"/>
      <c r="I26" s="38"/>
      <c r="J26" s="38"/>
      <c r="K26" s="38"/>
      <c r="L26" s="17"/>
      <c r="M26" s="17"/>
      <c r="N26" s="38"/>
      <c r="O26" s="38"/>
      <c r="P26" s="38"/>
      <c r="Q26" s="38"/>
      <c r="T26" s="38"/>
      <c r="U26" s="38"/>
      <c r="V26" s="38"/>
      <c r="W26" s="38"/>
    </row>
    <row r="27" spans="1:51" x14ac:dyDescent="0.3">
      <c r="C27" s="38"/>
      <c r="D27" s="38"/>
      <c r="E27" s="38"/>
      <c r="G27" s="34"/>
      <c r="H27" s="38"/>
      <c r="I27" s="38"/>
      <c r="J27" s="38"/>
      <c r="K27" s="38"/>
      <c r="N27" s="38"/>
      <c r="O27" s="38"/>
      <c r="P27" s="38"/>
      <c r="Q27" s="38"/>
      <c r="T27" s="38"/>
      <c r="U27" s="38"/>
      <c r="V27" s="38"/>
      <c r="W27" s="38"/>
    </row>
    <row r="28" spans="1:51" x14ac:dyDescent="0.3">
      <c r="C28" s="38"/>
      <c r="D28" s="38"/>
      <c r="E28" s="38"/>
      <c r="H28" s="38"/>
      <c r="I28" s="38"/>
      <c r="J28" s="38"/>
      <c r="K28" s="38"/>
      <c r="N28" s="38"/>
      <c r="O28" s="38"/>
      <c r="P28" s="38"/>
      <c r="Q28" s="38"/>
      <c r="T28" s="38"/>
      <c r="U28" s="38"/>
      <c r="V28" s="38"/>
      <c r="W28" s="38"/>
    </row>
    <row r="29" spans="1:51" x14ac:dyDescent="0.3">
      <c r="C29" s="38"/>
      <c r="D29" s="38"/>
      <c r="E29" s="38"/>
      <c r="H29" s="38"/>
      <c r="I29" s="38"/>
      <c r="J29" s="38"/>
      <c r="K29" s="38"/>
      <c r="N29" s="38"/>
      <c r="O29" s="38"/>
      <c r="P29" s="38"/>
      <c r="Q29" s="38"/>
      <c r="T29" s="38"/>
      <c r="U29" s="38"/>
      <c r="V29" s="38"/>
      <c r="W29" s="38"/>
    </row>
    <row r="30" spans="1:51" x14ac:dyDescent="0.3">
      <c r="C30" s="38"/>
      <c r="D30" s="38"/>
      <c r="E30" s="38"/>
      <c r="H30" s="38"/>
      <c r="I30" s="38"/>
      <c r="J30" s="38"/>
      <c r="K30" s="38"/>
      <c r="N30" s="38"/>
      <c r="O30" s="38"/>
      <c r="P30" s="38"/>
      <c r="Q30" s="38"/>
      <c r="T30" s="38"/>
      <c r="U30" s="38"/>
      <c r="V30" s="38"/>
      <c r="W30" s="38"/>
    </row>
    <row r="31" spans="1:51" x14ac:dyDescent="0.3">
      <c r="C31" s="38"/>
      <c r="D31" s="38"/>
      <c r="E31" s="38"/>
      <c r="H31" s="38"/>
      <c r="I31" s="38"/>
      <c r="J31" s="38"/>
      <c r="K31" s="38"/>
      <c r="N31" s="38"/>
      <c r="O31" s="38"/>
      <c r="P31" s="38"/>
      <c r="Q31" s="38"/>
      <c r="T31" s="38"/>
      <c r="U31" s="38"/>
      <c r="V31" s="38"/>
      <c r="W31" s="38"/>
    </row>
    <row r="32" spans="1:51" x14ac:dyDescent="0.3">
      <c r="C32" t="s">
        <v>172</v>
      </c>
      <c r="D32">
        <f>COUNTIF($F$3:$G$26:$L$3:$M$26:$R$3:$S$25:$X$3:$Y$25,$C32)</f>
        <v>10</v>
      </c>
      <c r="E32" s="38"/>
      <c r="H32" s="38"/>
      <c r="I32" s="38"/>
      <c r="J32" s="38"/>
      <c r="K32" s="38"/>
      <c r="N32" s="38"/>
      <c r="O32" s="38"/>
      <c r="P32" s="38"/>
      <c r="Q32" s="38"/>
      <c r="T32" s="38"/>
      <c r="U32" s="38"/>
      <c r="V32" s="38"/>
      <c r="W32" s="38"/>
    </row>
    <row r="33" spans="3:23" x14ac:dyDescent="0.3">
      <c r="C33" t="s">
        <v>184</v>
      </c>
      <c r="D33">
        <f>COUNTIF($F$3:$G$26:$L$3:$M$26:$R$3:$S$25:$X$3:$Y$25,$C33)</f>
        <v>10</v>
      </c>
      <c r="E33" s="38"/>
      <c r="H33" s="38"/>
      <c r="I33" s="38"/>
      <c r="J33" s="38"/>
      <c r="K33" s="38"/>
      <c r="N33" s="38"/>
      <c r="O33" s="38"/>
      <c r="P33" s="38"/>
      <c r="Q33" s="38"/>
      <c r="T33" s="38"/>
      <c r="U33" s="38"/>
      <c r="V33" s="38"/>
      <c r="W33" s="38"/>
    </row>
    <row r="34" spans="3:23" x14ac:dyDescent="0.3">
      <c r="C34" t="s">
        <v>177</v>
      </c>
      <c r="D34">
        <f>COUNTIF($F$3:$G$26:$L$3:$M$26:$R$3:$S$25:$X$3:$Y$25,$C34)</f>
        <v>10</v>
      </c>
    </row>
    <row r="35" spans="3:23" x14ac:dyDescent="0.3">
      <c r="C35" t="s">
        <v>176</v>
      </c>
      <c r="D35">
        <f>COUNTIF($F$3:$G$26:$L$3:$M$26:$R$3:$S$25:$X$3:$Y$25,$C35)</f>
        <v>11</v>
      </c>
    </row>
    <row r="36" spans="3:23" x14ac:dyDescent="0.3">
      <c r="C36" t="s">
        <v>179</v>
      </c>
      <c r="D36">
        <f>COUNTIF($F$3:$G$26:$L$3:$M$26:$R$3:$S$25:$X$3:$Y$25,$C36)</f>
        <v>6</v>
      </c>
    </row>
    <row r="37" spans="3:23" x14ac:dyDescent="0.3">
      <c r="C37" t="s">
        <v>178</v>
      </c>
      <c r="D37">
        <f>COUNTIF($F$3:$G$26:$L$3:$M$26:$R$3:$S$25:$X$3:$Y$25,$C37)</f>
        <v>6</v>
      </c>
    </row>
    <row r="38" spans="3:23" x14ac:dyDescent="0.3">
      <c r="C38" t="s">
        <v>181</v>
      </c>
      <c r="D38">
        <f>COUNTIF($F$3:$G$26:$L$3:$M$26:$R$3:$S$25:$X$3:$Y$25,$C38)</f>
        <v>7</v>
      </c>
    </row>
    <row r="39" spans="3:23" x14ac:dyDescent="0.3">
      <c r="C39" t="s">
        <v>186</v>
      </c>
      <c r="D39">
        <f>COUNTIF($F$3:$G$26:$L$3:$M$26:$R$3:$S$25:$X$3:$Y$25,$C39)</f>
        <v>2</v>
      </c>
    </row>
    <row r="40" spans="3:23" x14ac:dyDescent="0.3">
      <c r="C40" t="s">
        <v>185</v>
      </c>
      <c r="D40">
        <f>COUNTIF($F$3:$G$26:$L$3:$M$26:$R$3:$S$25:$X$3:$Y$25,$C40)</f>
        <v>4</v>
      </c>
    </row>
    <row r="41" spans="3:23" x14ac:dyDescent="0.3">
      <c r="C41" s="33" t="s">
        <v>180</v>
      </c>
      <c r="D41" s="33">
        <f>COUNTIF($F$3:$G$26:$L$3:$M$26:$R$3:$S$25:$X$3:$Y$25,$C41)</f>
        <v>11</v>
      </c>
    </row>
    <row r="42" spans="3:23" x14ac:dyDescent="0.3">
      <c r="C42" s="33" t="s">
        <v>173</v>
      </c>
      <c r="D42" s="33">
        <f>COUNTIF($F$3:$G$26:$L$3:$M$26:$R$3:$S$25:$X$3:$Y$25,$C42)</f>
        <v>13</v>
      </c>
    </row>
    <row r="43" spans="3:23" x14ac:dyDescent="0.3">
      <c r="C43" s="33" t="s">
        <v>182</v>
      </c>
      <c r="D43" s="33">
        <f>COUNTIF($F$3:$G$26:$L$3:$M$26:$R$3:$S$25:$X$3:$Y$25,$C43)</f>
        <v>13</v>
      </c>
    </row>
    <row r="44" spans="3:23" x14ac:dyDescent="0.3">
      <c r="C44" s="33" t="s">
        <v>175</v>
      </c>
      <c r="D44" s="33">
        <f>COUNTIF($F$3:$G$26:$L$3:$M$26:$R$3:$S$25:$X$3:$Y$25,$C44)</f>
        <v>13</v>
      </c>
    </row>
    <row r="45" spans="3:23" x14ac:dyDescent="0.3">
      <c r="C45" s="33" t="s">
        <v>183</v>
      </c>
      <c r="D45" s="33">
        <f>COUNTIF($F$3:$G$26:$L$3:$M$26:$R$3:$S$25:$X$3:$Y$25,$C45)</f>
        <v>13</v>
      </c>
    </row>
    <row r="46" spans="3:23" x14ac:dyDescent="0.3">
      <c r="C46" s="33" t="s">
        <v>188</v>
      </c>
      <c r="D46" s="33">
        <f>COUNTIF($F$3:$G$26:$L$3:$M$26:$R$3:$S$25:$X$3:$Y$25,$C46)</f>
        <v>0</v>
      </c>
    </row>
    <row r="47" spans="3:23" x14ac:dyDescent="0.3">
      <c r="C47" s="33" t="s">
        <v>174</v>
      </c>
      <c r="D47" s="33">
        <f>COUNTIF($F$3:$G$26:$L$3:$M$26:$R$3:$S$25:$X$3:$Y$25,$C47)</f>
        <v>7</v>
      </c>
    </row>
  </sheetData>
  <mergeCells count="12">
    <mergeCell ref="D21:E21"/>
    <mergeCell ref="J21:K21"/>
    <mergeCell ref="P20:Q20"/>
    <mergeCell ref="V20:W20"/>
    <mergeCell ref="D1:E1"/>
    <mergeCell ref="J1:K1"/>
    <mergeCell ref="P1:Q1"/>
    <mergeCell ref="V1:W1"/>
    <mergeCell ref="D7:E7"/>
    <mergeCell ref="J7:K7"/>
    <mergeCell ref="P6:Q6"/>
    <mergeCell ref="V6:W6"/>
  </mergeCells>
  <conditionalFormatting sqref="B3:B27">
    <cfRule type="cellIs" dxfId="19" priority="1" operator="greaterThan">
      <formula>0</formula>
    </cfRule>
    <cfRule type="cellIs" dxfId="18" priority="2" operator="equal">
      <formula>0</formula>
    </cfRule>
  </conditionalFormatting>
  <conditionalFormatting sqref="F3:G12">
    <cfRule type="expression" dxfId="17" priority="3">
      <formula>COUNTIF($C3:$Y3,F3)&gt;1</formula>
    </cfRule>
  </conditionalFormatting>
  <conditionalFormatting sqref="F16:G16 L16:M16 R16:S16 X16:Y16">
    <cfRule type="expression" dxfId="16" priority="14">
      <formula>COUNTIF($C13:$Y13,F16)&gt;1</formula>
    </cfRule>
  </conditionalFormatting>
  <conditionalFormatting sqref="H16:H17">
    <cfRule type="cellIs" dxfId="15" priority="10" operator="equal">
      <formula>0</formula>
    </cfRule>
  </conditionalFormatting>
  <conditionalFormatting sqref="L3:M12 R6:S12 X9:Y12 F14:G15 L14:M15 R14:S15 X14:Y15 F17:G27 L17:M27 R17:S27 X17:Y27">
    <cfRule type="expression" dxfId="14" priority="9">
      <formula>COUNTIF($C3:$Y3,F3)&gt;1</formula>
    </cfRule>
  </conditionalFormatting>
  <conditionalFormatting sqref="R5">
    <cfRule type="expression" dxfId="13" priority="7">
      <formula>COUNTIF($C6:$Y6,R5)&gt;1</formula>
    </cfRule>
  </conditionalFormatting>
  <conditionalFormatting sqref="R3:S4 S5">
    <cfRule type="expression" dxfId="12" priority="6">
      <formula>COUNTIF($C3:$Y3,R3)&gt;1</formula>
    </cfRule>
  </conditionalFormatting>
  <conditionalFormatting sqref="X8">
    <cfRule type="expression" dxfId="11" priority="4">
      <formula>COUNTIF($C9:$Y9,X8)&gt;1</formula>
    </cfRule>
  </conditionalFormatting>
  <conditionalFormatting sqref="X3:Y7 Y8">
    <cfRule type="expression" dxfId="10" priority="5">
      <formula>COUNTIF($C3:$Y3,X3)&gt;1</formula>
    </cfRule>
  </conditionalFormatting>
  <dataValidations count="1">
    <dataValidation type="list" allowBlank="1" showInputMessage="1" showErrorMessage="1" sqref="F22:G26 R3:S5 L3:M6 R21:S25 X3:Y5 L8:M12 X21:Y25 F3:G6 F16:G20 F8:G12 L16:M26 X16:Y19 X7:Y12 R16:S19 R7:S12" xr:uid="{A686CAD6-4825-4252-BBE3-3557C004F965}">
      <formula1>$C$32:$C$47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1152-501F-42C0-85AF-101B0351515E}">
  <sheetPr>
    <pageSetUpPr fitToPage="1"/>
  </sheetPr>
  <dimension ref="A1:M78"/>
  <sheetViews>
    <sheetView workbookViewId="0">
      <selection activeCell="G38" sqref="G38"/>
    </sheetView>
  </sheetViews>
  <sheetFormatPr defaultRowHeight="14.4" x14ac:dyDescent="0.3"/>
  <cols>
    <col min="1" max="1" width="7.88671875" bestFit="1" customWidth="1"/>
    <col min="2" max="2" width="7.44140625" customWidth="1"/>
    <col min="3" max="3" width="13.44140625" bestFit="1" customWidth="1"/>
    <col min="4" max="4" width="15.88671875" bestFit="1" customWidth="1"/>
    <col min="5" max="6" width="18.109375" bestFit="1" customWidth="1"/>
    <col min="7" max="7" width="16.88671875" customWidth="1"/>
    <col min="8" max="8" width="0.6640625" customWidth="1"/>
    <col min="9" max="9" width="17.44140625" bestFit="1" customWidth="1"/>
    <col min="10" max="11" width="17.6640625" bestFit="1" customWidth="1"/>
    <col min="12" max="12" width="18.109375" bestFit="1" customWidth="1"/>
    <col min="13" max="13" width="15.88671875" bestFit="1" customWidth="1"/>
  </cols>
  <sheetData>
    <row r="1" spans="1:13" ht="15.6" x14ac:dyDescent="0.3">
      <c r="A1" s="1" t="str" cm="1">
        <f t="array" ref="A1:M27">'Referee Schedule'!A1:M27</f>
        <v>Sat:</v>
      </c>
      <c r="B1">
        <v>0</v>
      </c>
      <c r="C1" s="31" t="str">
        <v>Division/Game</v>
      </c>
      <c r="D1" s="40" t="str">
        <v>Alfa Main</v>
      </c>
      <c r="E1" s="41">
        <v>0</v>
      </c>
      <c r="F1" s="10" t="str">
        <v>Domare 1</v>
      </c>
      <c r="G1" s="10" t="str">
        <v>Domare 2</v>
      </c>
      <c r="H1">
        <v>0</v>
      </c>
      <c r="I1" s="31" t="str">
        <v>Division/Game</v>
      </c>
      <c r="J1" s="40" t="str">
        <v>Humana</v>
      </c>
      <c r="K1" s="41">
        <v>0</v>
      </c>
      <c r="L1" s="10" t="str">
        <v>Domare 1</v>
      </c>
      <c r="M1" s="10" t="str">
        <v>Domare 2</v>
      </c>
    </row>
    <row r="2" spans="1:13" ht="15.6" x14ac:dyDescent="0.3">
      <c r="A2" s="9">
        <v>0.36458333333333331</v>
      </c>
      <c r="B2" s="38">
        <v>0</v>
      </c>
      <c r="C2" s="38">
        <v>0</v>
      </c>
      <c r="D2" s="38">
        <v>0</v>
      </c>
      <c r="E2" s="38">
        <v>0</v>
      </c>
      <c r="F2" s="38">
        <v>0</v>
      </c>
      <c r="G2" s="38">
        <v>0</v>
      </c>
      <c r="H2" s="38">
        <v>0</v>
      </c>
      <c r="I2" s="38">
        <v>0</v>
      </c>
      <c r="J2" s="38">
        <v>0</v>
      </c>
      <c r="K2" s="38">
        <v>0</v>
      </c>
      <c r="L2" s="38">
        <v>0</v>
      </c>
      <c r="M2" s="38">
        <v>0</v>
      </c>
    </row>
    <row r="3" spans="1:13" ht="15.6" x14ac:dyDescent="0.3">
      <c r="A3" s="9">
        <v>0.40625</v>
      </c>
      <c r="B3">
        <v>0</v>
      </c>
      <c r="C3" s="31" t="str">
        <v>Elite Group A</v>
      </c>
      <c r="D3" s="13" t="str">
        <v>IFAH 1</v>
      </c>
      <c r="E3" s="13" t="str">
        <v>BHV Tigers</v>
      </c>
      <c r="F3" s="17" t="str">
        <v>Kristoffer Stormark</v>
      </c>
      <c r="G3" s="17" t="str">
        <v>Inge Haukom</v>
      </c>
      <c r="H3" s="38">
        <v>0</v>
      </c>
      <c r="I3" s="31" t="str">
        <v>Major Group A</v>
      </c>
      <c r="J3" s="15" t="str">
        <v>Aabenraa 2 </v>
      </c>
      <c r="K3" s="15" t="str">
        <v>IFAH 2</v>
      </c>
      <c r="L3" s="17" t="str">
        <v>Jörgen Johannsen</v>
      </c>
      <c r="M3" s="17" t="str">
        <v>Elias Parment</v>
      </c>
    </row>
    <row r="4" spans="1:13" ht="15.6" x14ac:dyDescent="0.3">
      <c r="A4" s="9">
        <v>0.4375</v>
      </c>
      <c r="B4">
        <v>0</v>
      </c>
      <c r="C4" s="31" t="str">
        <v>Elite Group A</v>
      </c>
      <c r="D4" s="13" t="str">
        <v>Aabenraa</v>
      </c>
      <c r="E4" s="13" t="str">
        <v>KF Heros 1</v>
      </c>
      <c r="F4" s="17" t="str">
        <v>Kristoffer Stormark</v>
      </c>
      <c r="G4" s="17" t="str">
        <v>Andreas Sjöberg</v>
      </c>
      <c r="H4" s="38">
        <v>0</v>
      </c>
      <c r="I4" s="31" t="str">
        <v>Major Group A</v>
      </c>
      <c r="J4" s="15" t="str">
        <v>Lilleström </v>
      </c>
      <c r="K4" s="15" t="str">
        <v>Norrköping Rhinos </v>
      </c>
      <c r="L4" s="17" t="str">
        <v>Espen Hoff</v>
      </c>
      <c r="M4" s="17" t="str">
        <v>Jim A.Nymoen</v>
      </c>
    </row>
    <row r="5" spans="1:13" ht="15.6" x14ac:dyDescent="0.3">
      <c r="A5" s="9">
        <v>0.46875</v>
      </c>
      <c r="B5">
        <v>0</v>
      </c>
      <c r="C5" s="31" t="str">
        <v>Major Group B</v>
      </c>
      <c r="D5" s="16" t="str">
        <v>Gårslev 2 </v>
      </c>
      <c r="E5" s="16" t="str">
        <v>FIFH Malmö 2 </v>
      </c>
      <c r="F5" s="17" t="str">
        <v>Reine Schröder</v>
      </c>
      <c r="G5" s="17" t="str">
        <v>Magnus Undén</v>
      </c>
      <c r="H5" s="38">
        <v>0</v>
      </c>
      <c r="I5" s="31" t="str">
        <v>Major Group B</v>
      </c>
      <c r="J5" s="16" t="str">
        <v>KF Heros 2</v>
      </c>
      <c r="K5" s="16" t="str">
        <v>Umeå Wolfs</v>
      </c>
      <c r="L5" s="17" t="str">
        <v>Elias Parment</v>
      </c>
      <c r="M5" s="17" t="str">
        <v>Oliver Parment</v>
      </c>
    </row>
    <row r="6" spans="1:13" ht="15.6" x14ac:dyDescent="0.3">
      <c r="A6" s="9">
        <v>0.5</v>
      </c>
      <c r="B6">
        <v>0</v>
      </c>
      <c r="C6" s="31" t="str">
        <v>Division 1 Group A</v>
      </c>
      <c r="D6" s="11" t="str">
        <v>Alberta 1</v>
      </c>
      <c r="E6" s="11" t="str">
        <v>Boston 2</v>
      </c>
      <c r="F6" s="17" t="str">
        <v>Reine Schröder</v>
      </c>
      <c r="G6" s="17" t="str">
        <v>Mats Fernlund</v>
      </c>
      <c r="H6" s="38">
        <v>0</v>
      </c>
      <c r="I6" s="31" t="str">
        <v>Division 1 Group A</v>
      </c>
      <c r="J6" s="11" t="str">
        <v>Ontario </v>
      </c>
      <c r="K6" s="11" t="str">
        <v>Eskilstuna Tanks</v>
      </c>
      <c r="L6" s="17" t="str">
        <v>Elias Parment</v>
      </c>
      <c r="M6" s="17" t="str">
        <v>Thomas Karlsson</v>
      </c>
    </row>
    <row r="7" spans="1:13" ht="15.6" x14ac:dyDescent="0.3">
      <c r="A7" s="9">
        <v>0.53125</v>
      </c>
      <c r="B7">
        <v>0</v>
      </c>
      <c r="C7" s="31">
        <v>0</v>
      </c>
      <c r="D7" s="42" t="str">
        <v>LUNCH</v>
      </c>
      <c r="E7" s="42">
        <v>0</v>
      </c>
      <c r="F7" s="38">
        <v>0</v>
      </c>
      <c r="G7" s="38">
        <v>0</v>
      </c>
      <c r="H7" s="38">
        <v>0</v>
      </c>
      <c r="I7" s="31">
        <v>0</v>
      </c>
      <c r="J7" s="42" t="str">
        <v>LUNCH</v>
      </c>
      <c r="K7" s="42">
        <v>0</v>
      </c>
      <c r="L7" s="17">
        <v>0</v>
      </c>
      <c r="M7" s="17">
        <v>0</v>
      </c>
    </row>
    <row r="8" spans="1:13" ht="15.6" x14ac:dyDescent="0.3">
      <c r="A8" s="9">
        <v>0.5625</v>
      </c>
      <c r="B8">
        <v>0</v>
      </c>
      <c r="C8" s="31" t="str">
        <v>Division 1 Group B</v>
      </c>
      <c r="D8" s="12" t="str">
        <v>IFAH 3</v>
      </c>
      <c r="E8" s="12" t="str">
        <v>Boston 1</v>
      </c>
      <c r="F8" s="17" t="str">
        <v>Mats Fernlund</v>
      </c>
      <c r="G8" s="17" t="str">
        <v>Andreas Sjöberg</v>
      </c>
      <c r="H8" s="38">
        <v>0</v>
      </c>
      <c r="I8" s="31" t="str">
        <v>Division 1 Group B</v>
      </c>
      <c r="J8" s="12" t="str">
        <v>FIFH Malmö 3 </v>
      </c>
      <c r="K8" s="12" t="str">
        <v>Alberta 2</v>
      </c>
      <c r="L8" s="17" t="str">
        <v>Magnus Undén</v>
      </c>
      <c r="M8" s="17" t="str">
        <v>Oliver Parment</v>
      </c>
    </row>
    <row r="9" spans="1:13" ht="15.6" x14ac:dyDescent="0.3">
      <c r="A9" s="9">
        <v>0.59375</v>
      </c>
      <c r="B9">
        <v>0</v>
      </c>
      <c r="C9" s="31" t="str">
        <v>Elite Group B</v>
      </c>
      <c r="D9" s="14" t="str">
        <v>BHV Lions </v>
      </c>
      <c r="E9" s="14" t="str">
        <v>Arendal </v>
      </c>
      <c r="F9" s="17" t="str">
        <v>Jörgen Johannsen</v>
      </c>
      <c r="G9" s="17" t="str">
        <v>Andreas Sjöberg</v>
      </c>
      <c r="H9" s="38">
        <v>0</v>
      </c>
      <c r="I9" s="31" t="str">
        <v>Elite Group B</v>
      </c>
      <c r="J9" s="14" t="str">
        <v>Gårslev </v>
      </c>
      <c r="K9" s="14" t="str">
        <v>FIFH Malmö 1</v>
      </c>
      <c r="L9" s="17" t="str">
        <v>Håkan Elveljung</v>
      </c>
      <c r="M9" s="17" t="str">
        <v>Jim A.Nymoen</v>
      </c>
    </row>
    <row r="10" spans="1:13" ht="15.6" x14ac:dyDescent="0.3">
      <c r="A10" s="9">
        <v>0.625</v>
      </c>
      <c r="B10">
        <v>0</v>
      </c>
      <c r="C10" s="31" t="str">
        <v>Major Group A</v>
      </c>
      <c r="D10" s="15" t="str">
        <v>Aabenraa 2 </v>
      </c>
      <c r="E10" s="15" t="str">
        <v>Norrköping Rhinos </v>
      </c>
      <c r="F10" s="17" t="str">
        <v>Oliver Parment</v>
      </c>
      <c r="G10" s="17" t="str">
        <v>Jonas Örevik</v>
      </c>
      <c r="H10" s="38">
        <v>0</v>
      </c>
      <c r="I10" s="31" t="str">
        <v>Major Group A</v>
      </c>
      <c r="J10" s="15" t="str">
        <v>IFAH 2</v>
      </c>
      <c r="K10" s="15" t="str">
        <v>Lilleström </v>
      </c>
      <c r="L10" s="17" t="str">
        <v>Espen Hoff</v>
      </c>
      <c r="M10" s="17" t="str">
        <v>Jim A.Nymoen</v>
      </c>
    </row>
    <row r="11" spans="1:13" ht="15.6" x14ac:dyDescent="0.3">
      <c r="A11" s="9">
        <v>0.65625</v>
      </c>
      <c r="B11">
        <v>0</v>
      </c>
      <c r="C11" s="31" t="str">
        <v>Division 1 Group B</v>
      </c>
      <c r="D11" s="12" t="str">
        <v>IFAH 3</v>
      </c>
      <c r="E11" s="12" t="str">
        <v>FIFH Malmö 3 </v>
      </c>
      <c r="F11" s="17" t="str">
        <v>Elias Parment</v>
      </c>
      <c r="G11" s="17" t="str">
        <v>Andreas Sjöberg</v>
      </c>
      <c r="H11" s="38">
        <v>0</v>
      </c>
      <c r="I11" s="31" t="str">
        <v>Elite Group A</v>
      </c>
      <c r="J11" s="13" t="str">
        <v>BHV Tigers</v>
      </c>
      <c r="K11" s="13" t="str">
        <v>Aabenraa</v>
      </c>
      <c r="L11" s="17" t="str">
        <v>Kristoffer Stormark</v>
      </c>
      <c r="M11" s="17" t="str">
        <v>Reine Schröder</v>
      </c>
    </row>
    <row r="12" spans="1:13" ht="15.6" x14ac:dyDescent="0.3">
      <c r="A12" s="9">
        <v>0.6875</v>
      </c>
      <c r="B12">
        <v>0</v>
      </c>
      <c r="C12" s="31" t="str">
        <v>Elite Group B</v>
      </c>
      <c r="D12" s="14" t="str">
        <v>BHV Lions </v>
      </c>
      <c r="E12" s="14" t="str">
        <v>Gårslev </v>
      </c>
      <c r="F12" s="17" t="str">
        <v>Jörgen Johannsen</v>
      </c>
      <c r="G12" s="17" t="str">
        <v>Jonas Örevik</v>
      </c>
      <c r="H12" s="38">
        <v>0</v>
      </c>
      <c r="I12" s="31" t="str">
        <v>Elite Group B</v>
      </c>
      <c r="J12" s="14" t="str">
        <v>FIFH Malmö 1</v>
      </c>
      <c r="K12" s="14" t="str">
        <v>Arendal </v>
      </c>
      <c r="L12" s="17" t="str">
        <v>Kristoffer Stormark</v>
      </c>
      <c r="M12" s="17" t="str">
        <v>Espen Hoff</v>
      </c>
    </row>
    <row r="13" spans="1:13" ht="15.6" x14ac:dyDescent="0.3">
      <c r="A13" s="9">
        <v>0.72916666666666663</v>
      </c>
      <c r="B13">
        <v>0</v>
      </c>
      <c r="C13" s="38">
        <v>0</v>
      </c>
      <c r="D13" s="38">
        <v>0</v>
      </c>
      <c r="E13" s="38">
        <v>0</v>
      </c>
      <c r="F13" s="10">
        <v>0</v>
      </c>
      <c r="G13" s="10">
        <v>0</v>
      </c>
      <c r="H13" s="38">
        <v>0</v>
      </c>
      <c r="I13" s="38">
        <v>0</v>
      </c>
      <c r="J13" s="38">
        <v>0</v>
      </c>
      <c r="K13" s="38">
        <v>0</v>
      </c>
      <c r="L13" s="10">
        <v>0</v>
      </c>
      <c r="M13" s="10">
        <v>0</v>
      </c>
    </row>
    <row r="14" spans="1:13" ht="15.6" x14ac:dyDescent="0.3">
      <c r="A14" s="9">
        <v>0</v>
      </c>
      <c r="B14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10">
        <v>0</v>
      </c>
      <c r="M14" s="10">
        <v>0</v>
      </c>
    </row>
    <row r="15" spans="1:13" ht="15.6" x14ac:dyDescent="0.3">
      <c r="A15" s="9" t="str">
        <v>Sun</v>
      </c>
      <c r="B15">
        <v>0</v>
      </c>
      <c r="C15" s="38">
        <v>0</v>
      </c>
      <c r="D15" s="38">
        <v>0</v>
      </c>
      <c r="E15" s="38">
        <v>0</v>
      </c>
      <c r="F15" s="10">
        <v>0</v>
      </c>
      <c r="G15" s="10">
        <v>0</v>
      </c>
      <c r="H15" s="38">
        <v>0</v>
      </c>
      <c r="I15" s="38">
        <v>0</v>
      </c>
      <c r="J15" s="38">
        <v>0</v>
      </c>
      <c r="K15" s="38">
        <v>0</v>
      </c>
      <c r="L15" s="10">
        <v>0</v>
      </c>
      <c r="M15" s="10">
        <v>0</v>
      </c>
    </row>
    <row r="16" spans="1:13" ht="15.6" x14ac:dyDescent="0.3">
      <c r="A16" s="9">
        <v>0.375</v>
      </c>
      <c r="B16">
        <v>0</v>
      </c>
      <c r="C16" s="31" t="str">
        <v>Div 1 SF 2</v>
      </c>
      <c r="D16" s="28" t="str">
        <v>GB 1</v>
      </c>
      <c r="E16" s="28" t="str">
        <v>GA 2</v>
      </c>
      <c r="F16" s="17" t="str">
        <v>Oliver Parment</v>
      </c>
      <c r="G16" s="17" t="str">
        <v>Elias Parment</v>
      </c>
      <c r="H16" s="39">
        <v>0</v>
      </c>
      <c r="I16" s="31" t="str">
        <v>Div 1 SF 1</v>
      </c>
      <c r="J16" s="28" t="str">
        <v>GA 1</v>
      </c>
      <c r="K16" s="28" t="str">
        <v>GB 2</v>
      </c>
      <c r="L16" s="17" t="str">
        <v>Magnus Undén</v>
      </c>
      <c r="M16" s="17" t="str">
        <v>Mats Fernlund</v>
      </c>
    </row>
    <row r="17" spans="1:13" ht="15.6" x14ac:dyDescent="0.3">
      <c r="A17" s="9">
        <v>0.40625</v>
      </c>
      <c r="B17">
        <v>0</v>
      </c>
      <c r="C17" s="31" t="str">
        <v>Div 2 SF 2</v>
      </c>
      <c r="D17" s="27" t="str">
        <v>GB 3</v>
      </c>
      <c r="E17" s="27" t="str">
        <v>GA 4</v>
      </c>
      <c r="F17" s="17" t="str">
        <v>Oliver Parment</v>
      </c>
      <c r="G17" s="17" t="str">
        <v>Elias Parment</v>
      </c>
      <c r="H17" s="39">
        <v>0</v>
      </c>
      <c r="I17" s="31" t="str">
        <v>Div 2 SF 1</v>
      </c>
      <c r="J17" s="27" t="str">
        <v>GA 3</v>
      </c>
      <c r="K17" s="27" t="str">
        <v>GB 4</v>
      </c>
      <c r="L17" s="10" t="str">
        <v>Magnus Undén</v>
      </c>
      <c r="M17" s="10" t="str">
        <v>Mats Fernlund</v>
      </c>
    </row>
    <row r="18" spans="1:13" ht="15.6" x14ac:dyDescent="0.3">
      <c r="A18" s="9">
        <v>0.4375</v>
      </c>
      <c r="B18">
        <v>0</v>
      </c>
      <c r="C18" s="31" t="str">
        <v>Major PQ 1</v>
      </c>
      <c r="D18" s="30" t="str">
        <v>L QF 1</v>
      </c>
      <c r="E18" s="30" t="str">
        <v>L QF 3</v>
      </c>
      <c r="F18" s="17" t="str">
        <v>Håkan Norberg</v>
      </c>
      <c r="G18" s="17" t="str">
        <v>Elias Parment</v>
      </c>
      <c r="H18" s="38">
        <v>0</v>
      </c>
      <c r="I18" s="31" t="str">
        <v>Major SF 1</v>
      </c>
      <c r="J18" s="30" t="str">
        <v>W QF 1</v>
      </c>
      <c r="K18" s="30" t="str">
        <v>W QF 3</v>
      </c>
      <c r="L18" s="10" t="str">
        <v>Magnus Undén</v>
      </c>
      <c r="M18" s="10" t="str">
        <v>Andreas Sjöberg</v>
      </c>
    </row>
    <row r="19" spans="1:13" ht="15.6" x14ac:dyDescent="0.3">
      <c r="A19" s="9">
        <v>0.46875</v>
      </c>
      <c r="B19">
        <v>0</v>
      </c>
      <c r="C19" s="31" t="str">
        <v>Major PQ 2</v>
      </c>
      <c r="D19" s="30" t="str">
        <v>L QF 2</v>
      </c>
      <c r="E19" s="30" t="str">
        <v>L QF 4</v>
      </c>
      <c r="F19" s="17" t="str">
        <v>Jim A.Nymoen</v>
      </c>
      <c r="G19" s="17" t="str">
        <v>Jörgen Johannsen</v>
      </c>
      <c r="H19" s="38">
        <v>0</v>
      </c>
      <c r="I19" s="31" t="str">
        <v>Major SF 2</v>
      </c>
      <c r="J19" s="30" t="str">
        <v>W QF 2</v>
      </c>
      <c r="K19" s="30" t="str">
        <v>W QF 4</v>
      </c>
      <c r="L19" s="17" t="str">
        <v>Jonas Örevik</v>
      </c>
      <c r="M19" s="17" t="str">
        <v>Andreas Sjöberg</v>
      </c>
    </row>
    <row r="20" spans="1:13" ht="15.6" x14ac:dyDescent="0.3">
      <c r="A20" s="9">
        <v>0.5</v>
      </c>
      <c r="B20">
        <v>0</v>
      </c>
      <c r="C20" s="31" t="str">
        <v>Elite PQ 1</v>
      </c>
      <c r="D20" s="29" t="str">
        <v>L QF 1</v>
      </c>
      <c r="E20" s="29" t="str">
        <v>L QF 3</v>
      </c>
      <c r="F20" s="17" t="str">
        <v>Jim A.Nymoen</v>
      </c>
      <c r="G20" s="17" t="str">
        <v>Jörgen Johannsen</v>
      </c>
      <c r="H20" s="38">
        <v>0</v>
      </c>
      <c r="I20" s="31" t="str">
        <v>Elite SF 1</v>
      </c>
      <c r="J20" s="29" t="str">
        <v>W QF 1</v>
      </c>
      <c r="K20" s="29" t="str">
        <v>W QF 3</v>
      </c>
      <c r="L20" s="17" t="str">
        <v>Espen Hoff</v>
      </c>
      <c r="M20" s="17" t="str">
        <v>Andreas Sjöberg</v>
      </c>
    </row>
    <row r="21" spans="1:13" ht="15.6" x14ac:dyDescent="0.3">
      <c r="A21" s="9">
        <v>0.53125</v>
      </c>
      <c r="B21">
        <v>0</v>
      </c>
      <c r="C21" s="31">
        <v>0</v>
      </c>
      <c r="D21" s="42" t="str">
        <v>LUNCH</v>
      </c>
      <c r="E21" s="42">
        <v>0</v>
      </c>
      <c r="F21" s="38">
        <v>0</v>
      </c>
      <c r="G21" s="38">
        <v>0</v>
      </c>
      <c r="H21" s="38">
        <v>0</v>
      </c>
      <c r="I21" s="31">
        <v>0</v>
      </c>
      <c r="J21" s="42" t="str">
        <v>LUNCH</v>
      </c>
      <c r="K21" s="42">
        <v>0</v>
      </c>
      <c r="L21" s="17">
        <v>0</v>
      </c>
      <c r="M21" s="17">
        <v>0</v>
      </c>
    </row>
    <row r="22" spans="1:13" ht="15.6" x14ac:dyDescent="0.3">
      <c r="A22" s="9">
        <v>0.5625</v>
      </c>
      <c r="B22">
        <v>0</v>
      </c>
      <c r="C22" s="31" t="str">
        <v>Div 1 Bronze</v>
      </c>
      <c r="D22" s="28" t="str">
        <v>L SF 1</v>
      </c>
      <c r="E22" s="28" t="str">
        <v>L SF 2</v>
      </c>
      <c r="F22" s="10" t="str">
        <v>Oliver Parment</v>
      </c>
      <c r="G22" s="10" t="str">
        <v>Elias Parment</v>
      </c>
      <c r="H22" s="38">
        <v>0</v>
      </c>
      <c r="I22" s="31" t="str">
        <v>Div 2 Bronze</v>
      </c>
      <c r="J22" s="27" t="str">
        <v>L SF 1</v>
      </c>
      <c r="K22" s="27" t="str">
        <v>L SF 2</v>
      </c>
      <c r="L22" s="17" t="str">
        <v>Thomas Karlsson</v>
      </c>
      <c r="M22" s="17" t="str">
        <v>Mats Fernlund</v>
      </c>
    </row>
    <row r="23" spans="1:13" ht="15.6" x14ac:dyDescent="0.3">
      <c r="A23" s="9">
        <v>0.60416666666666663</v>
      </c>
      <c r="B23">
        <v>0</v>
      </c>
      <c r="C23" s="31" t="str">
        <v>Div 1 Final</v>
      </c>
      <c r="D23" s="28" t="str">
        <v>W SF 1</v>
      </c>
      <c r="E23" s="28" t="str">
        <v>W SF 2</v>
      </c>
      <c r="F23" s="17" t="str">
        <v>Reine Schröder</v>
      </c>
      <c r="G23" s="17" t="str">
        <v>Magnus Undén</v>
      </c>
      <c r="H23" s="38">
        <v>0</v>
      </c>
      <c r="I23" s="31" t="str">
        <v>Div 2 Final</v>
      </c>
      <c r="J23" s="27" t="str">
        <v>W SF 1</v>
      </c>
      <c r="K23" s="27" t="str">
        <v>W SF 2</v>
      </c>
      <c r="L23" s="17" t="str">
        <v>Oliver Parment</v>
      </c>
      <c r="M23" s="17" t="str">
        <v>Elias Parment</v>
      </c>
    </row>
    <row r="24" spans="1:13" ht="15.6" x14ac:dyDescent="0.3">
      <c r="A24" s="9">
        <v>0.64583333333333337</v>
      </c>
      <c r="B24">
        <v>0</v>
      </c>
      <c r="C24" s="31" t="str">
        <v>Major Final</v>
      </c>
      <c r="D24" s="30" t="str">
        <v>W SF 1</v>
      </c>
      <c r="E24" s="30" t="str">
        <v>W SF 2</v>
      </c>
      <c r="F24" s="17" t="str">
        <v>Jim A.Nymoen</v>
      </c>
      <c r="G24" s="17" t="str">
        <v>Espen Hoff</v>
      </c>
      <c r="H24" s="38">
        <v>0</v>
      </c>
      <c r="I24" s="31" t="str">
        <v>Elite Bronze</v>
      </c>
      <c r="J24" s="29" t="str">
        <v>L SF 1</v>
      </c>
      <c r="K24" s="29" t="str">
        <v>L SF 2</v>
      </c>
      <c r="L24" s="17" t="str">
        <v>Kristoffer Stormark</v>
      </c>
      <c r="M24" s="17" t="str">
        <v>Jörgen Johannsen</v>
      </c>
    </row>
    <row r="25" spans="1:13" ht="15.6" x14ac:dyDescent="0.3">
      <c r="A25" s="9">
        <v>0.6875</v>
      </c>
      <c r="B25">
        <v>0</v>
      </c>
      <c r="C25" s="31" t="str">
        <v>Elite Final</v>
      </c>
      <c r="D25" s="29" t="str">
        <v>W SF 1</v>
      </c>
      <c r="E25" s="29" t="str">
        <v>W SF 2</v>
      </c>
      <c r="F25" s="17" t="str">
        <v>Kristoffer Stormark</v>
      </c>
      <c r="G25" s="17" t="str">
        <v>Jörgen Johannsen</v>
      </c>
      <c r="H25" s="38">
        <v>0</v>
      </c>
      <c r="I25" s="31" t="str">
        <v>Major Bronze</v>
      </c>
      <c r="J25" s="30" t="str">
        <v>L SF 1</v>
      </c>
      <c r="K25" s="30" t="str">
        <v>L SF 2</v>
      </c>
      <c r="L25" s="17" t="str">
        <v>Andreas Sjöberg</v>
      </c>
      <c r="M25" s="17" t="str">
        <v>Magnus Undén</v>
      </c>
    </row>
    <row r="26" spans="1:13" x14ac:dyDescent="0.3">
      <c r="A26">
        <v>0</v>
      </c>
      <c r="B26">
        <v>0</v>
      </c>
      <c r="C26" s="38">
        <v>0</v>
      </c>
      <c r="D26" s="38">
        <v>0</v>
      </c>
      <c r="E26" s="38">
        <v>0</v>
      </c>
      <c r="F26" s="17">
        <v>0</v>
      </c>
      <c r="G26" s="17">
        <v>0</v>
      </c>
      <c r="H26" s="38">
        <v>0</v>
      </c>
      <c r="I26" s="38">
        <v>0</v>
      </c>
      <c r="J26" s="38">
        <v>0</v>
      </c>
      <c r="K26" s="38">
        <v>0</v>
      </c>
      <c r="L26" s="17">
        <v>0</v>
      </c>
      <c r="M26" s="17">
        <v>0</v>
      </c>
    </row>
    <row r="27" spans="1:13" x14ac:dyDescent="0.3">
      <c r="A27">
        <v>0</v>
      </c>
      <c r="B27">
        <v>0</v>
      </c>
      <c r="C27" s="38">
        <v>0</v>
      </c>
      <c r="D27" s="38">
        <v>0</v>
      </c>
      <c r="E27" s="38">
        <v>0</v>
      </c>
      <c r="F27" s="10">
        <v>0</v>
      </c>
      <c r="G27" s="34">
        <v>0</v>
      </c>
      <c r="H27" s="38">
        <v>0</v>
      </c>
      <c r="I27" s="38">
        <v>0</v>
      </c>
      <c r="J27" s="38">
        <v>0</v>
      </c>
      <c r="K27" s="38">
        <v>0</v>
      </c>
      <c r="L27" s="10">
        <v>0</v>
      </c>
      <c r="M27" s="10">
        <v>0</v>
      </c>
    </row>
    <row r="52" spans="1:13" ht="15.6" x14ac:dyDescent="0.3">
      <c r="A52" s="1" t="str" cm="1">
        <f t="array" ref="A52:A78">A1:A27</f>
        <v>Sat:</v>
      </c>
      <c r="C52" s="31" t="str" cm="1">
        <f t="array" ref="C52:M78">'Referee Schedule'!O1:Y27</f>
        <v>Division/Game</v>
      </c>
      <c r="D52" s="40" t="str">
        <v>Scandic</v>
      </c>
      <c r="E52" s="41">
        <v>0</v>
      </c>
      <c r="F52" s="10" t="str">
        <v>Domare 1</v>
      </c>
      <c r="G52" s="10" t="str">
        <v>Domare 2</v>
      </c>
      <c r="H52">
        <v>0</v>
      </c>
      <c r="I52" s="31" t="str">
        <v>Division/Game</v>
      </c>
      <c r="J52" s="40" t="str">
        <v>Wallners</v>
      </c>
      <c r="K52" s="41">
        <v>0</v>
      </c>
      <c r="L52" s="10" t="str">
        <v>Domare 1</v>
      </c>
      <c r="M52" s="10" t="str">
        <v>Domare 2</v>
      </c>
    </row>
    <row r="53" spans="1:13" ht="15.6" x14ac:dyDescent="0.3">
      <c r="A53" s="9">
        <v>0.36458333333333331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</row>
    <row r="54" spans="1:13" ht="15.6" x14ac:dyDescent="0.3">
      <c r="A54" s="9">
        <v>0.40625</v>
      </c>
      <c r="C54" s="31" t="str">
        <v>Division 1 Group A</v>
      </c>
      <c r="D54" s="11" t="str">
        <v>Alberta 1</v>
      </c>
      <c r="E54" s="11" t="str">
        <v>Eskilstuna Tanks</v>
      </c>
      <c r="F54" s="17" t="str">
        <v>Reine Schröder</v>
      </c>
      <c r="G54" s="17" t="str">
        <v>Magnus Undén</v>
      </c>
      <c r="H54" s="38">
        <v>0</v>
      </c>
      <c r="I54" s="31" t="str">
        <v>Division 1 Group A</v>
      </c>
      <c r="J54" s="11" t="str">
        <v>Boston 2</v>
      </c>
      <c r="K54" s="11" t="str">
        <v>Ontario </v>
      </c>
      <c r="L54" s="10" t="str">
        <v>Andreas Sjöberg</v>
      </c>
      <c r="M54" s="10" t="str">
        <v>Oliver Parment</v>
      </c>
    </row>
    <row r="55" spans="1:13" ht="15.6" x14ac:dyDescent="0.3">
      <c r="A55" s="9">
        <v>0.4375</v>
      </c>
      <c r="C55" s="31" t="str">
        <v>Division 1 Group B</v>
      </c>
      <c r="D55" s="12" t="str">
        <v>IFAH 3</v>
      </c>
      <c r="E55" s="12" t="str">
        <v>Alberta 2</v>
      </c>
      <c r="F55" s="17" t="str">
        <v>Reine Schröder</v>
      </c>
      <c r="G55" s="17" t="str">
        <v>Magnus Undén</v>
      </c>
      <c r="H55" s="38">
        <v>0</v>
      </c>
      <c r="I55" s="31" t="str">
        <v>Division 1 Group B</v>
      </c>
      <c r="J55" s="12" t="str">
        <v>Boston 1</v>
      </c>
      <c r="K55" s="12" t="str">
        <v>FIFH Malmö 3 </v>
      </c>
      <c r="L55" s="10" t="str">
        <v>Oliver Parment</v>
      </c>
      <c r="M55" s="10" t="str">
        <v>Mats Fernlund</v>
      </c>
    </row>
    <row r="56" spans="1:13" ht="15.6" x14ac:dyDescent="0.3">
      <c r="A56" s="9">
        <v>0.46875</v>
      </c>
      <c r="C56" s="31" t="str">
        <v>Elite Group B</v>
      </c>
      <c r="D56" s="14" t="str">
        <v>BHV Lions </v>
      </c>
      <c r="E56" s="14" t="str">
        <v>FIFH Malmö 1</v>
      </c>
      <c r="F56" s="17" t="str">
        <v>Jörgen Johannsen</v>
      </c>
      <c r="G56" s="10" t="str">
        <v>Håkan Elveljung</v>
      </c>
      <c r="H56" s="38">
        <v>0</v>
      </c>
      <c r="I56" s="31" t="str">
        <v>Elite Group B</v>
      </c>
      <c r="J56" s="14" t="str">
        <v>Arendal </v>
      </c>
      <c r="K56" s="14" t="str">
        <v>Gårslev </v>
      </c>
      <c r="L56" s="17" t="str">
        <v>Jonas Örevik</v>
      </c>
      <c r="M56" s="10" t="str">
        <v>Jim A.Nymoen</v>
      </c>
    </row>
    <row r="57" spans="1:13" ht="15.6" x14ac:dyDescent="0.3">
      <c r="A57" s="9">
        <v>0.5</v>
      </c>
      <c r="C57" s="31">
        <v>0</v>
      </c>
      <c r="D57" s="42" t="str">
        <v>LUNCH</v>
      </c>
      <c r="E57" s="42">
        <v>0</v>
      </c>
      <c r="F57" s="38">
        <v>0</v>
      </c>
      <c r="G57" s="38">
        <v>0</v>
      </c>
      <c r="H57" s="38">
        <v>0</v>
      </c>
      <c r="I57" s="31">
        <v>0</v>
      </c>
      <c r="J57" s="42" t="str">
        <v>LUNCH</v>
      </c>
      <c r="K57" s="42">
        <v>0</v>
      </c>
      <c r="L57" s="10">
        <v>0</v>
      </c>
      <c r="M57" s="10">
        <v>0</v>
      </c>
    </row>
    <row r="58" spans="1:13" ht="15.6" x14ac:dyDescent="0.3">
      <c r="A58" s="9">
        <v>0.53125</v>
      </c>
      <c r="C58" s="31" t="str">
        <v>Elite Group A</v>
      </c>
      <c r="D58" s="13" t="str">
        <v>IFAH 1</v>
      </c>
      <c r="E58" s="13" t="str">
        <v>Aabenraa</v>
      </c>
      <c r="F58" s="17" t="str">
        <v>Kristoffer Stormark</v>
      </c>
      <c r="G58" s="17" t="str">
        <v>Espen Hoff</v>
      </c>
      <c r="H58" s="38">
        <v>0</v>
      </c>
      <c r="I58" s="31" t="str">
        <v>Major Group A</v>
      </c>
      <c r="J58" s="15" t="str">
        <v>Aabenraa 2 </v>
      </c>
      <c r="K58" s="15" t="str">
        <v>Lilleström </v>
      </c>
      <c r="L58" s="10" t="str">
        <v>Reine Schröder</v>
      </c>
      <c r="M58" s="10" t="str">
        <v>Elias Parment</v>
      </c>
    </row>
    <row r="59" spans="1:13" ht="15.6" x14ac:dyDescent="0.3">
      <c r="A59" s="9">
        <v>0.5625</v>
      </c>
      <c r="C59" s="31" t="str">
        <v>Elite Group A</v>
      </c>
      <c r="D59" s="13" t="str">
        <v>KF Heros 1</v>
      </c>
      <c r="E59" s="13" t="str">
        <v>BHV Tigers</v>
      </c>
      <c r="F59" s="17" t="str">
        <v>Kristoffer Stormark</v>
      </c>
      <c r="G59" s="17" t="str">
        <v>Inge Haukom</v>
      </c>
      <c r="H59" s="38">
        <v>0</v>
      </c>
      <c r="I59" s="31" t="str">
        <v>Major Group A</v>
      </c>
      <c r="J59" s="15" t="str">
        <v>Norrköping Rhinos </v>
      </c>
      <c r="K59" s="15" t="str">
        <v>IFAH 2</v>
      </c>
      <c r="L59" s="17" t="str">
        <v>Reine Schröder</v>
      </c>
      <c r="M59" s="17" t="str">
        <v>Elias Parment</v>
      </c>
    </row>
    <row r="60" spans="1:13" ht="15.6" x14ac:dyDescent="0.3">
      <c r="A60" s="9">
        <v>0.59375</v>
      </c>
      <c r="C60" s="31" t="str">
        <v>Major Group B</v>
      </c>
      <c r="D60" s="16" t="str">
        <v>Gårslev 2 </v>
      </c>
      <c r="E60" s="16" t="str">
        <v>KF Heros 2</v>
      </c>
      <c r="F60" s="17" t="str">
        <v>Magnus Undén</v>
      </c>
      <c r="G60" s="17" t="str">
        <v>Oliver Parment</v>
      </c>
      <c r="H60" s="38">
        <v>0</v>
      </c>
      <c r="I60" s="31" t="str">
        <v>Division 1 Group A</v>
      </c>
      <c r="J60" s="11" t="str">
        <v>Alberta 1</v>
      </c>
      <c r="K60" s="11" t="str">
        <v>Ontario </v>
      </c>
      <c r="L60" s="17" t="str">
        <v>Håkan Norberg</v>
      </c>
      <c r="M60" s="17" t="str">
        <v>Elias Parment</v>
      </c>
    </row>
    <row r="61" spans="1:13" ht="15.6" x14ac:dyDescent="0.3">
      <c r="A61" s="9">
        <v>0.625</v>
      </c>
      <c r="C61" s="31" t="str">
        <v>Major Group B</v>
      </c>
      <c r="D61" s="16" t="str">
        <v>Umeå Wolfs</v>
      </c>
      <c r="E61" s="16" t="str">
        <v>FIFH Malmö 2 </v>
      </c>
      <c r="F61" s="10" t="str">
        <v>Inge Haukom</v>
      </c>
      <c r="G61" s="10" t="str">
        <v>Håkan Elveljung</v>
      </c>
      <c r="H61" s="38">
        <v>0</v>
      </c>
      <c r="I61" s="31" t="str">
        <v>Division 1 Group A</v>
      </c>
      <c r="J61" s="11" t="str">
        <v>Eskilstuna Tanks</v>
      </c>
      <c r="K61" s="11" t="str">
        <v>Boston 2</v>
      </c>
      <c r="L61" s="10" t="str">
        <v>Reine Schröder</v>
      </c>
      <c r="M61" s="10" t="str">
        <v>Mats Fernlund</v>
      </c>
    </row>
    <row r="62" spans="1:13" ht="15.6" x14ac:dyDescent="0.3">
      <c r="A62" s="9">
        <v>0.65625</v>
      </c>
      <c r="C62" s="31" t="str">
        <v>Elite Group A</v>
      </c>
      <c r="D62" s="13" t="str">
        <v>IFAH 1</v>
      </c>
      <c r="E62" s="13" t="str">
        <v>KF Heros 1</v>
      </c>
      <c r="F62" s="17" t="str">
        <v>Jim A.Nymoen</v>
      </c>
      <c r="G62" s="17" t="str">
        <v>Inge Haukom</v>
      </c>
      <c r="H62" s="38">
        <v>0</v>
      </c>
      <c r="I62" s="31" t="str">
        <v>Division 1 Group B</v>
      </c>
      <c r="J62" s="12" t="str">
        <v>Alberta 2</v>
      </c>
      <c r="K62" s="12" t="str">
        <v>Boston 1</v>
      </c>
      <c r="L62" s="10" t="str">
        <v>Magnus Undén</v>
      </c>
      <c r="M62" s="10" t="str">
        <v>Espen Hoff</v>
      </c>
    </row>
    <row r="63" spans="1:13" ht="15.6" x14ac:dyDescent="0.3">
      <c r="A63" s="9">
        <v>0.6875</v>
      </c>
      <c r="C63" s="31" t="str">
        <v>Major Group B</v>
      </c>
      <c r="D63" s="16" t="str">
        <v>FIFH Malmö 2 </v>
      </c>
      <c r="E63" s="16" t="str">
        <v>KF Heros 2</v>
      </c>
      <c r="F63" s="17" t="str">
        <v>Andreas Sjöberg</v>
      </c>
      <c r="G63" s="17" t="str">
        <v>Elias Parment</v>
      </c>
      <c r="H63" s="38">
        <v>0</v>
      </c>
      <c r="I63" s="31" t="str">
        <v>Major Group B</v>
      </c>
      <c r="J63" s="16" t="str">
        <v>Gårslev 2 </v>
      </c>
      <c r="K63" s="16" t="str">
        <v>Umeå Wolfs</v>
      </c>
      <c r="L63" s="10" t="str">
        <v>Magnus Undén</v>
      </c>
      <c r="M63" s="10" t="str">
        <v>Oliver Parment</v>
      </c>
    </row>
    <row r="64" spans="1:13" ht="15.6" x14ac:dyDescent="0.3">
      <c r="A64" s="9">
        <v>0.72916666666666663</v>
      </c>
      <c r="C64" s="38">
        <v>0</v>
      </c>
      <c r="D64" s="38">
        <v>0</v>
      </c>
      <c r="E64" s="38">
        <v>0</v>
      </c>
      <c r="F64" s="10">
        <v>0</v>
      </c>
      <c r="G64" s="10">
        <v>0</v>
      </c>
      <c r="H64" s="38">
        <v>0</v>
      </c>
      <c r="I64" s="38">
        <v>0</v>
      </c>
      <c r="J64" s="38">
        <v>0</v>
      </c>
      <c r="K64" s="38">
        <v>0</v>
      </c>
      <c r="L64" s="10">
        <v>0</v>
      </c>
      <c r="M64" s="10">
        <v>0</v>
      </c>
    </row>
    <row r="65" spans="1:13" ht="15.6" x14ac:dyDescent="0.3">
      <c r="A65" s="9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10">
        <v>0</v>
      </c>
      <c r="M65" s="10">
        <v>0</v>
      </c>
    </row>
    <row r="66" spans="1:13" x14ac:dyDescent="0.3">
      <c r="A66" t="str">
        <v>Sun</v>
      </c>
      <c r="C66" s="38">
        <v>0</v>
      </c>
      <c r="D66" s="38">
        <v>0</v>
      </c>
      <c r="E66" s="38">
        <v>0</v>
      </c>
      <c r="F66" s="10">
        <v>0</v>
      </c>
      <c r="G66" s="10">
        <v>0</v>
      </c>
      <c r="H66" s="38">
        <v>0</v>
      </c>
      <c r="I66" s="38">
        <v>0</v>
      </c>
      <c r="J66" s="38">
        <v>0</v>
      </c>
      <c r="K66" s="38">
        <v>0</v>
      </c>
      <c r="L66" s="10">
        <v>0</v>
      </c>
      <c r="M66" s="10">
        <v>0</v>
      </c>
    </row>
    <row r="67" spans="1:13" ht="15.6" x14ac:dyDescent="0.3">
      <c r="A67" s="9">
        <v>0.375</v>
      </c>
      <c r="C67" s="31" t="str">
        <v>Major QF 2</v>
      </c>
      <c r="D67" s="30" t="str">
        <v>GB 1</v>
      </c>
      <c r="E67" s="30" t="str">
        <v>GA 4</v>
      </c>
      <c r="F67" s="17" t="str">
        <v>Jonas Örevik</v>
      </c>
      <c r="G67" s="17" t="str">
        <v>Håkan Norberg</v>
      </c>
      <c r="H67" s="38">
        <v>0</v>
      </c>
      <c r="I67" s="31" t="str">
        <v>Major QF 1</v>
      </c>
      <c r="J67" s="30" t="str">
        <v>GA 1</v>
      </c>
      <c r="K67" s="30" t="str">
        <v>GB 4</v>
      </c>
      <c r="L67" s="17" t="str">
        <v>Håkan Elveljung</v>
      </c>
      <c r="M67" s="17" t="str">
        <v>Reine Schröder</v>
      </c>
    </row>
    <row r="68" spans="1:13" ht="15.6" x14ac:dyDescent="0.3">
      <c r="A68" s="9">
        <v>0.40625</v>
      </c>
      <c r="C68" s="31" t="str">
        <v>Major QF 4</v>
      </c>
      <c r="D68" s="30" t="str">
        <v>GB 2</v>
      </c>
      <c r="E68" s="30" t="str">
        <v>GA 3</v>
      </c>
      <c r="F68" s="10" t="str">
        <v>Andreas Sjöberg</v>
      </c>
      <c r="G68" s="10" t="str">
        <v>Jim A.Nymoen</v>
      </c>
      <c r="H68" s="38">
        <v>0</v>
      </c>
      <c r="I68" s="31" t="str">
        <v>Major QF 3</v>
      </c>
      <c r="J68" s="30" t="str">
        <v>GA 2</v>
      </c>
      <c r="K68" s="30" t="str">
        <v>GB 3</v>
      </c>
      <c r="L68" s="10" t="str">
        <v>Espen Hoff</v>
      </c>
      <c r="M68" s="10" t="str">
        <v>Reine Schröder</v>
      </c>
    </row>
    <row r="69" spans="1:13" ht="15.6" x14ac:dyDescent="0.3">
      <c r="A69" s="9">
        <v>0.4375</v>
      </c>
      <c r="C69" s="31" t="str">
        <v>Elite QF 3</v>
      </c>
      <c r="D69" s="29" t="str">
        <v>GA 2</v>
      </c>
      <c r="E69" s="29" t="str">
        <v>GB 3</v>
      </c>
      <c r="F69" s="17" t="str">
        <v>Espen Hoff</v>
      </c>
      <c r="G69" s="17" t="str">
        <v>Jim A.Nymoen</v>
      </c>
      <c r="H69" s="38">
        <v>0</v>
      </c>
      <c r="I69" s="31" t="str">
        <v>Elite QF 1</v>
      </c>
      <c r="J69" s="29" t="str">
        <v>GA 1</v>
      </c>
      <c r="K69" s="29" t="str">
        <v>GB 4</v>
      </c>
      <c r="L69" s="10" t="str">
        <v>Kristoffer Stormark</v>
      </c>
      <c r="M69" s="10" t="str">
        <v>Reine Schröder</v>
      </c>
    </row>
    <row r="70" spans="1:13" ht="15.6" x14ac:dyDescent="0.3">
      <c r="A70" s="9">
        <v>0.46875</v>
      </c>
      <c r="C70" s="31" t="str">
        <v>Elite QF 2</v>
      </c>
      <c r="D70" s="29" t="str">
        <v>GB 1</v>
      </c>
      <c r="E70" s="29" t="str">
        <v>GA 4</v>
      </c>
      <c r="F70" s="17" t="str">
        <v>Håkan Elveljung</v>
      </c>
      <c r="G70" s="17" t="str">
        <v>Inge Haukom</v>
      </c>
      <c r="H70" s="38">
        <v>0</v>
      </c>
      <c r="I70" s="31" t="str">
        <v>Elite QF 4</v>
      </c>
      <c r="J70" s="29" t="str">
        <v>GB 2</v>
      </c>
      <c r="K70" s="29" t="str">
        <v>GA 3</v>
      </c>
      <c r="L70" s="10" t="str">
        <v>Kristoffer Stormark</v>
      </c>
      <c r="M70" s="10" t="str">
        <v>Oliver Parment</v>
      </c>
    </row>
    <row r="71" spans="1:13" ht="15.6" x14ac:dyDescent="0.3">
      <c r="A71" s="9">
        <v>0.5</v>
      </c>
      <c r="C71" s="31">
        <v>0</v>
      </c>
      <c r="D71" s="42" t="str">
        <v>LUNCH</v>
      </c>
      <c r="E71" s="42">
        <v>0</v>
      </c>
      <c r="F71" s="38">
        <v>0</v>
      </c>
      <c r="G71" s="38">
        <v>0</v>
      </c>
      <c r="H71" s="38">
        <v>0</v>
      </c>
      <c r="I71" s="31">
        <v>0</v>
      </c>
      <c r="J71" s="42" t="str">
        <v>LUNCH</v>
      </c>
      <c r="K71" s="42">
        <v>0</v>
      </c>
      <c r="L71" s="10">
        <v>0</v>
      </c>
      <c r="M71" s="10">
        <v>0</v>
      </c>
    </row>
    <row r="72" spans="1:13" ht="15.6" x14ac:dyDescent="0.3">
      <c r="A72" s="9">
        <v>0.53125</v>
      </c>
      <c r="C72" s="31" t="str">
        <v>Elite PQ 2</v>
      </c>
      <c r="D72" s="29" t="str">
        <v>L QF 2</v>
      </c>
      <c r="E72" s="29" t="str">
        <v>L QF 4</v>
      </c>
      <c r="F72" s="10" t="str">
        <v>Jörgen Johannsen</v>
      </c>
      <c r="G72" s="10" t="str">
        <v>Oliver Parment</v>
      </c>
      <c r="H72" s="38">
        <v>0</v>
      </c>
      <c r="I72" s="31" t="str">
        <v>Elite SF 1</v>
      </c>
      <c r="J72" s="29" t="str">
        <v>W QF 2</v>
      </c>
      <c r="K72" s="29" t="str">
        <v>W QF 4</v>
      </c>
      <c r="L72" s="10" t="str">
        <v>Kristoffer Stormark</v>
      </c>
      <c r="M72" s="10" t="str">
        <v>Reine Schröder</v>
      </c>
    </row>
    <row r="73" spans="1:13" ht="15.6" x14ac:dyDescent="0.3">
      <c r="A73" s="9">
        <v>0.5625</v>
      </c>
      <c r="C73" s="31" t="str">
        <v>Major PL 5-6</v>
      </c>
      <c r="D73" s="30" t="str">
        <v>W PQ 1</v>
      </c>
      <c r="E73" s="30" t="str">
        <v>W PQ 2</v>
      </c>
      <c r="F73" s="10" t="str">
        <v>Håkan Norberg</v>
      </c>
      <c r="G73" s="10" t="str">
        <v>Espen Hoff</v>
      </c>
      <c r="H73" s="38">
        <v>0</v>
      </c>
      <c r="I73" s="31" t="str">
        <v>Major PL 7-8</v>
      </c>
      <c r="J73" s="30" t="str">
        <v>L PQ 1</v>
      </c>
      <c r="K73" s="30" t="str">
        <v>L PQ 2</v>
      </c>
      <c r="L73" s="10" t="str">
        <v>Inge Haukom</v>
      </c>
      <c r="M73" s="10" t="str">
        <v>Magnus Undén</v>
      </c>
    </row>
    <row r="74" spans="1:13" ht="15.6" x14ac:dyDescent="0.3">
      <c r="A74" s="9">
        <v>0.60416666666666663</v>
      </c>
      <c r="C74" s="31" t="str">
        <v>Elite PL 5-6</v>
      </c>
      <c r="D74" s="29" t="str">
        <v>W PQ 1</v>
      </c>
      <c r="E74" s="29" t="str">
        <v>W PQ 2</v>
      </c>
      <c r="F74" s="10" t="str">
        <v>Jonas Örevik</v>
      </c>
      <c r="G74" s="10" t="str">
        <v>Håkan Elveljung</v>
      </c>
      <c r="H74" s="38">
        <v>0</v>
      </c>
      <c r="I74" s="31" t="str">
        <v>Elite PL 7-8</v>
      </c>
      <c r="J74" s="29" t="str">
        <v>L PQ 1</v>
      </c>
      <c r="K74" s="29" t="str">
        <v>L PQ 2</v>
      </c>
      <c r="L74" s="10" t="str">
        <v>Inge Haukom</v>
      </c>
      <c r="M74" s="10" t="str">
        <v>Jörgen Johannsen</v>
      </c>
    </row>
    <row r="75" spans="1:13" ht="15.6" x14ac:dyDescent="0.3">
      <c r="A75" s="9">
        <v>0.64583333333333337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 s="17">
        <v>0</v>
      </c>
    </row>
    <row r="76" spans="1:13" ht="15.6" x14ac:dyDescent="0.3">
      <c r="A76" s="9">
        <v>0.6875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 s="17">
        <v>0</v>
      </c>
    </row>
    <row r="77" spans="1:13" ht="15.6" x14ac:dyDescent="0.3">
      <c r="A77" s="9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 s="17">
        <v>0</v>
      </c>
    </row>
    <row r="78" spans="1:13" ht="15.6" x14ac:dyDescent="0.3">
      <c r="A78" s="9">
        <v>0</v>
      </c>
      <c r="C78" s="38">
        <v>0</v>
      </c>
      <c r="D78" s="38">
        <v>0</v>
      </c>
      <c r="E78" s="38">
        <v>0</v>
      </c>
      <c r="F78" s="10">
        <v>0</v>
      </c>
      <c r="G78" s="34">
        <v>0</v>
      </c>
      <c r="H78" s="38">
        <v>0</v>
      </c>
      <c r="I78" s="38">
        <v>0</v>
      </c>
      <c r="J78" s="38">
        <v>0</v>
      </c>
      <c r="K78" s="38">
        <v>0</v>
      </c>
      <c r="L78" s="10">
        <v>0</v>
      </c>
      <c r="M78" s="10">
        <v>0</v>
      </c>
    </row>
  </sheetData>
  <sheetProtection sheet="1" objects="1" scenarios="1"/>
  <mergeCells count="12">
    <mergeCell ref="D1:E1"/>
    <mergeCell ref="J1:K1"/>
    <mergeCell ref="D57:E57"/>
    <mergeCell ref="J57:K57"/>
    <mergeCell ref="D71:E71"/>
    <mergeCell ref="J71:K71"/>
    <mergeCell ref="D7:E7"/>
    <mergeCell ref="J7:K7"/>
    <mergeCell ref="D21:E21"/>
    <mergeCell ref="J21:K21"/>
    <mergeCell ref="D52:E52"/>
    <mergeCell ref="J52:K52"/>
  </mergeCells>
  <conditionalFormatting sqref="A1:XFD1048576">
    <cfRule type="cellIs" dxfId="9" priority="1" operator="equal">
      <formula>0</formula>
    </cfRule>
  </conditionalFormatting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Lag + Gruppindelning</vt:lpstr>
      <vt:lpstr>Matcher</vt:lpstr>
      <vt:lpstr>Schema</vt:lpstr>
      <vt:lpstr>Domartillsättning</vt:lpstr>
      <vt:lpstr>Domarschema</vt:lpstr>
      <vt:lpstr>Teams +Groups</vt:lpstr>
      <vt:lpstr>Games</vt:lpstr>
      <vt:lpstr>Tables</vt:lpstr>
      <vt:lpstr>New Schedule</vt:lpstr>
      <vt:lpstr>Referee Schedule</vt:lpstr>
      <vt:lpstr>Ref.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 Johansson</dc:creator>
  <cp:keywords/>
  <dc:description/>
  <cp:lastModifiedBy>Gustav Johansson (Östergötlands IBF)</cp:lastModifiedBy>
  <cp:revision/>
  <dcterms:created xsi:type="dcterms:W3CDTF">2015-06-05T18:17:20Z</dcterms:created>
  <dcterms:modified xsi:type="dcterms:W3CDTF">2023-09-15T14:17:22Z</dcterms:modified>
  <cp:category/>
  <cp:contentStatus/>
</cp:coreProperties>
</file>